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hu\Documents\PLAYERO ROJIZO Tesis\Para cargar a la base de datos\"/>
    </mc:Choice>
  </mc:AlternateContent>
  <xr:revisionPtr revIDLastSave="0" documentId="13_ncr:1_{98DE418D-A5FB-469B-85CB-2C9AC0BE2305}" xr6:coauthVersionLast="47" xr6:coauthVersionMax="47" xr10:uidLastSave="{00000000-0000-0000-0000-000000000000}"/>
  <bookViews>
    <workbookView xWindow="-98" yWindow="-98" windowWidth="19396" windowHeight="11475" activeTab="3" xr2:uid="{D28930E0-A9AF-1C44-81FD-3626A2FD8194}"/>
  </bookViews>
  <sheets>
    <sheet name="density 2021" sheetId="1" r:id="rId1"/>
    <sheet name="density 2022" sheetId="2" r:id="rId2"/>
    <sheet name="Biomass2021" sheetId="4" r:id="rId3"/>
    <sheet name="Biomass 2022" sheetId="5" r:id="rId4"/>
    <sheet name="Dens y biom 2122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N14" i="4"/>
  <c r="N13" i="4"/>
  <c r="M15" i="2"/>
  <c r="M14" i="2"/>
  <c r="M13" i="2"/>
  <c r="AX16" i="4"/>
  <c r="AX15" i="4"/>
  <c r="AX14" i="4"/>
  <c r="AX7" i="4"/>
  <c r="AW7" i="4"/>
  <c r="AF15" i="4"/>
  <c r="AF14" i="4"/>
  <c r="AF13" i="4"/>
  <c r="AF9" i="4"/>
  <c r="AF8" i="4"/>
  <c r="AF7" i="4"/>
  <c r="AF6" i="4"/>
  <c r="AF5" i="4"/>
  <c r="AF4" i="4"/>
  <c r="AE4" i="4"/>
  <c r="AF3" i="4"/>
  <c r="AE3" i="4"/>
  <c r="AE2" i="4"/>
  <c r="R2" i="4"/>
  <c r="S2" i="4" s="1"/>
  <c r="AN3" i="5"/>
  <c r="AN4" i="5"/>
  <c r="AN5" i="5"/>
  <c r="AN6" i="5"/>
  <c r="AN7" i="5"/>
  <c r="AN8" i="5"/>
  <c r="AN9" i="5"/>
  <c r="AN10" i="5"/>
  <c r="AN11" i="5"/>
  <c r="AN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3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2" i="5"/>
  <c r="AE3" i="5"/>
  <c r="AE4" i="5"/>
  <c r="AE5" i="5"/>
  <c r="AE6" i="5"/>
  <c r="AE7" i="5"/>
  <c r="AE8" i="5"/>
  <c r="AE9" i="5"/>
  <c r="AE2" i="5"/>
  <c r="AD10" i="5"/>
  <c r="AE10" i="5" s="1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D11" i="5" s="1"/>
  <c r="AE11" i="5" s="1"/>
  <c r="AA51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2" i="5"/>
  <c r="V8" i="5"/>
  <c r="V9" i="5"/>
  <c r="V10" i="5"/>
  <c r="V11" i="5"/>
  <c r="R42" i="5"/>
  <c r="R43" i="5"/>
  <c r="R44" i="5"/>
  <c r="R45" i="5"/>
  <c r="R46" i="5"/>
  <c r="R47" i="5"/>
  <c r="R48" i="5"/>
  <c r="R49" i="5"/>
  <c r="R50" i="5"/>
  <c r="R51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3" i="5"/>
  <c r="R4" i="5"/>
  <c r="R5" i="5"/>
  <c r="R6" i="5"/>
  <c r="R7" i="5"/>
  <c r="R8" i="5"/>
  <c r="R9" i="5"/>
  <c r="R11" i="5"/>
  <c r="R12" i="5"/>
  <c r="R13" i="5"/>
  <c r="R15" i="5"/>
  <c r="R16" i="5"/>
  <c r="R17" i="5"/>
  <c r="R18" i="5"/>
  <c r="R19" i="5"/>
  <c r="R20" i="5"/>
  <c r="R21" i="5"/>
  <c r="R22" i="5"/>
  <c r="R23" i="5"/>
  <c r="R2" i="5"/>
  <c r="Q24" i="5"/>
  <c r="R24" i="5" s="1"/>
  <c r="Q14" i="5"/>
  <c r="R14" i="5" s="1"/>
  <c r="AT31" i="4"/>
  <c r="AO3" i="4"/>
  <c r="AO5" i="4"/>
  <c r="AO6" i="4"/>
  <c r="AO8" i="4"/>
  <c r="AO11" i="4"/>
  <c r="AO2" i="4"/>
  <c r="AN7" i="4"/>
  <c r="AO7" i="4" s="1"/>
  <c r="AK45" i="4"/>
  <c r="AK46" i="4"/>
  <c r="AK47" i="4"/>
  <c r="AK48" i="4"/>
  <c r="AK49" i="4"/>
  <c r="AK50" i="4"/>
  <c r="AK51" i="4"/>
  <c r="AK27" i="4"/>
  <c r="AK28" i="4"/>
  <c r="AK29" i="4"/>
  <c r="AK30" i="4"/>
  <c r="AK32" i="4"/>
  <c r="AK33" i="4"/>
  <c r="AK34" i="4"/>
  <c r="AK35" i="4"/>
  <c r="AK36" i="4"/>
  <c r="AK37" i="4"/>
  <c r="AK38" i="4"/>
  <c r="AN9" i="4" s="1"/>
  <c r="AO9" i="4" s="1"/>
  <c r="AK39" i="4"/>
  <c r="AK40" i="4"/>
  <c r="AK41" i="4"/>
  <c r="AK42" i="4"/>
  <c r="AK43" i="4"/>
  <c r="AK44" i="4"/>
  <c r="AN10" i="4" s="1"/>
  <c r="AO10" i="4" s="1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" i="4"/>
  <c r="U2" i="5" l="1"/>
  <c r="V2" i="5" s="1"/>
  <c r="AN4" i="4"/>
  <c r="AO4" i="4" s="1"/>
  <c r="AO14" i="4" s="1"/>
  <c r="AE16" i="5"/>
  <c r="U4" i="5"/>
  <c r="V4" i="5" s="1"/>
  <c r="U7" i="5"/>
  <c r="V7" i="5" s="1"/>
  <c r="U5" i="5"/>
  <c r="V5" i="5" s="1"/>
  <c r="AE14" i="5"/>
  <c r="AB41" i="4"/>
  <c r="AB42" i="4"/>
  <c r="AB43" i="4"/>
  <c r="AB44" i="4"/>
  <c r="AB45" i="4"/>
  <c r="AB46" i="4"/>
  <c r="AB47" i="4"/>
  <c r="AB48" i="4"/>
  <c r="AB49" i="4"/>
  <c r="AB50" i="4"/>
  <c r="AB51" i="4"/>
  <c r="AB17" i="4"/>
  <c r="AB18" i="4"/>
  <c r="AB19" i="4"/>
  <c r="AB20" i="4"/>
  <c r="AB21" i="4"/>
  <c r="AB22" i="4"/>
  <c r="AB23" i="4"/>
  <c r="AB24" i="4"/>
  <c r="AB25" i="4"/>
  <c r="AB26" i="4"/>
  <c r="AB27" i="4"/>
  <c r="AE7" i="4" s="1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2" i="4"/>
  <c r="W10" i="4"/>
  <c r="S49" i="4"/>
  <c r="S51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V8" i="4" s="1"/>
  <c r="W8" i="4" s="1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3" i="4"/>
  <c r="S6" i="4"/>
  <c r="S7" i="4"/>
  <c r="S8" i="4"/>
  <c r="S9" i="4"/>
  <c r="S11" i="4"/>
  <c r="S12" i="4"/>
  <c r="S13" i="4"/>
  <c r="S14" i="4"/>
  <c r="S15" i="4"/>
  <c r="S16" i="4"/>
  <c r="V4" i="4" s="1"/>
  <c r="W4" i="4" s="1"/>
  <c r="S17" i="4"/>
  <c r="S18" i="4"/>
  <c r="S19" i="4"/>
  <c r="P54" i="4"/>
  <c r="R50" i="4"/>
  <c r="S50" i="4" s="1"/>
  <c r="R48" i="4"/>
  <c r="S48" i="4" s="1"/>
  <c r="R47" i="4"/>
  <c r="S47" i="4" s="1"/>
  <c r="R10" i="4"/>
  <c r="S10" i="4" s="1"/>
  <c r="R5" i="4"/>
  <c r="S5" i="4" s="1"/>
  <c r="R4" i="4"/>
  <c r="S4" i="4" s="1"/>
  <c r="AN11" i="2"/>
  <c r="AN10" i="2"/>
  <c r="AN15" i="2" s="1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2" i="2"/>
  <c r="AE8" i="2"/>
  <c r="AE9" i="2"/>
  <c r="AE10" i="2"/>
  <c r="AE11" i="2"/>
  <c r="AA51" i="2"/>
  <c r="AA43" i="2"/>
  <c r="AA44" i="2"/>
  <c r="AA45" i="2"/>
  <c r="AA46" i="2"/>
  <c r="AA47" i="2"/>
  <c r="AA48" i="2"/>
  <c r="AA49" i="2"/>
  <c r="AA50" i="2"/>
  <c r="AA32" i="2"/>
  <c r="AA33" i="2"/>
  <c r="AA34" i="2"/>
  <c r="AA35" i="2"/>
  <c r="AA36" i="2"/>
  <c r="AA37" i="2"/>
  <c r="AA38" i="2"/>
  <c r="AA39" i="2"/>
  <c r="AA40" i="2"/>
  <c r="AA41" i="2"/>
  <c r="AA4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2" i="2"/>
  <c r="AD2" i="2" s="1"/>
  <c r="AE2" i="2" s="1"/>
  <c r="AO11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2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" i="1"/>
  <c r="AN5" i="1" l="1"/>
  <c r="AO5" i="1" s="1"/>
  <c r="AN3" i="1"/>
  <c r="AO3" i="1" s="1"/>
  <c r="AO16" i="4"/>
  <c r="V3" i="4"/>
  <c r="W3" i="4" s="1"/>
  <c r="V6" i="4"/>
  <c r="W6" i="4" s="1"/>
  <c r="AE6" i="4"/>
  <c r="V5" i="4"/>
  <c r="W5" i="4" s="1"/>
  <c r="V7" i="4"/>
  <c r="W7" i="4" s="1"/>
  <c r="AE9" i="4"/>
  <c r="V9" i="4"/>
  <c r="W9" i="4" s="1"/>
  <c r="AE5" i="4"/>
  <c r="AE8" i="4"/>
  <c r="V11" i="4"/>
  <c r="W11" i="4" s="1"/>
  <c r="AN13" i="2"/>
  <c r="AN8" i="1"/>
  <c r="AO8" i="1" s="1"/>
  <c r="AO15" i="1" s="1"/>
  <c r="AN9" i="1"/>
  <c r="AO9" i="1" s="1"/>
  <c r="AN2" i="1"/>
  <c r="AO2" i="1" s="1"/>
  <c r="AN7" i="1"/>
  <c r="AO7" i="1" s="1"/>
  <c r="AN4" i="1"/>
  <c r="AO4" i="1" s="1"/>
  <c r="AN6" i="1"/>
  <c r="AO6" i="1" s="1"/>
  <c r="AN10" i="1"/>
  <c r="AO10" i="1" s="1"/>
  <c r="V2" i="4"/>
  <c r="W2" i="4" s="1"/>
  <c r="AO14" i="1"/>
  <c r="AE2" i="1"/>
  <c r="AF2" i="1" s="1"/>
  <c r="AE10" i="1"/>
  <c r="AF10" i="1" s="1"/>
  <c r="AD4" i="2"/>
  <c r="AE4" i="2" s="1"/>
  <c r="AD7" i="2"/>
  <c r="AE7" i="2" s="1"/>
  <c r="AD3" i="2"/>
  <c r="AE3" i="2" s="1"/>
  <c r="AD6" i="2"/>
  <c r="AE6" i="2" s="1"/>
  <c r="AD5" i="2"/>
  <c r="AE5" i="2" s="1"/>
  <c r="AE6" i="1"/>
  <c r="AF6" i="1" s="1"/>
  <c r="AE11" i="1"/>
  <c r="AF11" i="1" s="1"/>
  <c r="AE7" i="1"/>
  <c r="AF7" i="1" s="1"/>
  <c r="AE8" i="1"/>
  <c r="AF8" i="1" s="1"/>
  <c r="AE5" i="1"/>
  <c r="AF5" i="1" s="1"/>
  <c r="AE4" i="1"/>
  <c r="AF4" i="1" s="1"/>
  <c r="AE3" i="1"/>
  <c r="AF3" i="1" s="1"/>
  <c r="AE9" i="1"/>
  <c r="AF9" i="1" s="1"/>
  <c r="AO16" i="1" l="1"/>
  <c r="W15" i="4"/>
  <c r="W13" i="4"/>
  <c r="AE13" i="2"/>
  <c r="AF16" i="1"/>
  <c r="AE15" i="2"/>
  <c r="AF14" i="1"/>
  <c r="AX3" i="2" l="1"/>
  <c r="AX4" i="2"/>
  <c r="AX5" i="2"/>
  <c r="AX6" i="2"/>
  <c r="AX8" i="2"/>
  <c r="AX9" i="2"/>
  <c r="AX10" i="2"/>
  <c r="AX11" i="2"/>
  <c r="AT47" i="2"/>
  <c r="AT48" i="2"/>
  <c r="AT49" i="2"/>
  <c r="AT50" i="2"/>
  <c r="AT51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2" i="2"/>
  <c r="AW2" i="2" s="1"/>
  <c r="AX2" i="2" s="1"/>
  <c r="R44" i="2"/>
  <c r="R45" i="2"/>
  <c r="R46" i="2"/>
  <c r="R47" i="2"/>
  <c r="R48" i="2"/>
  <c r="R49" i="2"/>
  <c r="R50" i="2"/>
  <c r="R51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" i="2"/>
  <c r="BG3" i="1"/>
  <c r="BG4" i="1"/>
  <c r="BG5" i="1"/>
  <c r="BG6" i="1"/>
  <c r="BG8" i="1"/>
  <c r="BG9" i="1"/>
  <c r="BG10" i="1"/>
  <c r="BG11" i="1"/>
  <c r="BG2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2" i="1"/>
  <c r="AX7" i="1"/>
  <c r="AX14" i="1" s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" i="1"/>
  <c r="S48" i="1"/>
  <c r="S49" i="1"/>
  <c r="S50" i="1"/>
  <c r="S51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" i="1"/>
  <c r="I40" i="5"/>
  <c r="I41" i="5"/>
  <c r="I42" i="5"/>
  <c r="I43" i="5"/>
  <c r="I44" i="5"/>
  <c r="I45" i="5"/>
  <c r="I46" i="5"/>
  <c r="I47" i="5"/>
  <c r="I48" i="5"/>
  <c r="I49" i="5"/>
  <c r="I50" i="5"/>
  <c r="I51" i="5"/>
  <c r="I28" i="5"/>
  <c r="I29" i="5"/>
  <c r="I30" i="5"/>
  <c r="I31" i="5"/>
  <c r="I32" i="5"/>
  <c r="I33" i="5"/>
  <c r="I34" i="5"/>
  <c r="I35" i="5"/>
  <c r="I36" i="5"/>
  <c r="I37" i="5"/>
  <c r="I38" i="5"/>
  <c r="I39" i="5"/>
  <c r="I3" i="5"/>
  <c r="I4" i="5"/>
  <c r="I5" i="5"/>
  <c r="I6" i="5"/>
  <c r="I7" i="5"/>
  <c r="I8" i="5"/>
  <c r="I9" i="5"/>
  <c r="I11" i="5"/>
  <c r="I12" i="5"/>
  <c r="I13" i="5"/>
  <c r="I15" i="5"/>
  <c r="I16" i="5"/>
  <c r="I17" i="5"/>
  <c r="I18" i="5"/>
  <c r="I19" i="5"/>
  <c r="I20" i="5"/>
  <c r="I21" i="5"/>
  <c r="I22" i="5"/>
  <c r="I23" i="5"/>
  <c r="I26" i="5"/>
  <c r="I27" i="5"/>
  <c r="I2" i="5"/>
  <c r="H14" i="5"/>
  <c r="I14" i="5" s="1"/>
  <c r="H24" i="5"/>
  <c r="I24" i="5" s="1"/>
  <c r="H25" i="5"/>
  <c r="I25" i="5" s="1"/>
  <c r="H10" i="5"/>
  <c r="I10" i="5" s="1"/>
  <c r="I34" i="4"/>
  <c r="I35" i="4"/>
  <c r="I37" i="4"/>
  <c r="I38" i="4"/>
  <c r="I40" i="4"/>
  <c r="I41" i="4"/>
  <c r="I42" i="4"/>
  <c r="I43" i="4"/>
  <c r="I44" i="4"/>
  <c r="I45" i="4"/>
  <c r="I46" i="4"/>
  <c r="I49" i="4"/>
  <c r="I51" i="4"/>
  <c r="I3" i="4"/>
  <c r="I5" i="4"/>
  <c r="I6" i="4"/>
  <c r="I7" i="4"/>
  <c r="I8" i="4"/>
  <c r="I9" i="4"/>
  <c r="I11" i="4"/>
  <c r="I12" i="4"/>
  <c r="I13" i="4"/>
  <c r="I14" i="4"/>
  <c r="I15" i="4"/>
  <c r="I16" i="4"/>
  <c r="I19" i="4"/>
  <c r="I20" i="4"/>
  <c r="I21" i="4"/>
  <c r="I24" i="4"/>
  <c r="I25" i="4"/>
  <c r="I26" i="4"/>
  <c r="I28" i="4"/>
  <c r="I29" i="4"/>
  <c r="I30" i="4"/>
  <c r="I31" i="4"/>
  <c r="H33" i="4"/>
  <c r="I33" i="4" s="1"/>
  <c r="H32" i="4"/>
  <c r="I32" i="4" s="1"/>
  <c r="H36" i="4"/>
  <c r="I36" i="4" s="1"/>
  <c r="H39" i="4"/>
  <c r="I39" i="4" s="1"/>
  <c r="H17" i="4"/>
  <c r="I17" i="4" s="1"/>
  <c r="H18" i="4"/>
  <c r="I18" i="4" s="1"/>
  <c r="H22" i="4"/>
  <c r="I22" i="4" s="1"/>
  <c r="H23" i="4"/>
  <c r="I23" i="4" s="1"/>
  <c r="H47" i="4"/>
  <c r="I47" i="4" s="1"/>
  <c r="H48" i="4"/>
  <c r="I48" i="4" s="1"/>
  <c r="H50" i="4"/>
  <c r="I50" i="4" s="1"/>
  <c r="H27" i="4"/>
  <c r="I27" i="4" s="1"/>
  <c r="H10" i="4"/>
  <c r="I10" i="4" s="1"/>
  <c r="H4" i="4"/>
  <c r="I4" i="4" s="1"/>
  <c r="H2" i="4"/>
  <c r="I2" i="4" s="1"/>
  <c r="H2" i="2"/>
  <c r="H3" i="2"/>
  <c r="H4" i="2"/>
  <c r="I4" i="2" s="1"/>
  <c r="H5" i="2"/>
  <c r="H6" i="2"/>
  <c r="I6" i="2" s="1"/>
  <c r="H7" i="2"/>
  <c r="I7" i="2" s="1"/>
  <c r="H8" i="2"/>
  <c r="I8" i="2" s="1"/>
  <c r="H9" i="2"/>
  <c r="I9" i="2" s="1"/>
  <c r="H10" i="2"/>
  <c r="I10" i="2" s="1"/>
  <c r="H11" i="2"/>
  <c r="H12" i="2"/>
  <c r="I12" i="2" s="1"/>
  <c r="H13" i="2"/>
  <c r="I13" i="2" s="1"/>
  <c r="H14" i="2"/>
  <c r="I14" i="2" s="1"/>
  <c r="H15" i="2"/>
  <c r="H16" i="2"/>
  <c r="I16" i="2" s="1"/>
  <c r="H17" i="2"/>
  <c r="I17" i="2" s="1"/>
  <c r="H18" i="2"/>
  <c r="I18" i="2" s="1"/>
  <c r="H19" i="2"/>
  <c r="H20" i="2"/>
  <c r="I20" i="2" s="1"/>
  <c r="H21" i="2"/>
  <c r="I21" i="2" s="1"/>
  <c r="H22" i="2"/>
  <c r="I22" i="2" s="1"/>
  <c r="H23" i="2"/>
  <c r="H24" i="2"/>
  <c r="I24" i="2" s="1"/>
  <c r="H25" i="2"/>
  <c r="I25" i="2" s="1"/>
  <c r="H26" i="2"/>
  <c r="I26" i="2" s="1"/>
  <c r="H27" i="2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I2" i="2"/>
  <c r="I3" i="2"/>
  <c r="I11" i="2"/>
  <c r="I15" i="2"/>
  <c r="I19" i="2"/>
  <c r="I23" i="2"/>
  <c r="I27" i="2"/>
  <c r="I35" i="2"/>
  <c r="I44" i="2"/>
  <c r="J44" i="1"/>
  <c r="J16" i="1"/>
  <c r="J17" i="1"/>
  <c r="J23" i="1"/>
  <c r="H31" i="1"/>
  <c r="J31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2" i="1"/>
  <c r="J22" i="1" s="1"/>
  <c r="H21" i="1"/>
  <c r="J21" i="1" s="1"/>
  <c r="H20" i="1"/>
  <c r="J20" i="1" s="1"/>
  <c r="H19" i="1"/>
  <c r="J19" i="1" s="1"/>
  <c r="H18" i="1"/>
  <c r="J18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3" i="1"/>
  <c r="H2" i="1"/>
  <c r="J2" i="1" s="1"/>
  <c r="L11" i="5" l="1"/>
  <c r="M11" i="5" s="1"/>
  <c r="L9" i="5"/>
  <c r="M9" i="5" s="1"/>
  <c r="L10" i="5"/>
  <c r="M10" i="5" s="1"/>
  <c r="M3" i="4"/>
  <c r="N3" i="4" s="1"/>
  <c r="M2" i="4"/>
  <c r="M7" i="4"/>
  <c r="N7" i="4" s="1"/>
  <c r="L6" i="5"/>
  <c r="M6" i="5" s="1"/>
  <c r="L5" i="5"/>
  <c r="M5" i="5" s="1"/>
  <c r="L8" i="5"/>
  <c r="M8" i="5" s="1"/>
  <c r="L7" i="5"/>
  <c r="M7" i="5" s="1"/>
  <c r="L2" i="5"/>
  <c r="M2" i="5" s="1"/>
  <c r="U8" i="2"/>
  <c r="V8" i="2" s="1"/>
  <c r="AW7" i="2"/>
  <c r="AX7" i="2" s="1"/>
  <c r="AX15" i="2" s="1"/>
  <c r="U5" i="2"/>
  <c r="V5" i="2" s="1"/>
  <c r="U2" i="2"/>
  <c r="V2" i="2" s="1"/>
  <c r="U10" i="2"/>
  <c r="V10" i="2" s="1"/>
  <c r="U6" i="2"/>
  <c r="V6" i="2" s="1"/>
  <c r="U11" i="2"/>
  <c r="V11" i="2" s="1"/>
  <c r="U4" i="2"/>
  <c r="V4" i="2" s="1"/>
  <c r="U3" i="2"/>
  <c r="V3" i="2" s="1"/>
  <c r="U9" i="2"/>
  <c r="V9" i="2" s="1"/>
  <c r="U7" i="2"/>
  <c r="V7" i="2" s="1"/>
  <c r="BF7" i="1"/>
  <c r="BG7" i="1" s="1"/>
  <c r="BG16" i="1" s="1"/>
  <c r="L4" i="5"/>
  <c r="M4" i="5" s="1"/>
  <c r="L3" i="5"/>
  <c r="M3" i="5" s="1"/>
  <c r="M4" i="4"/>
  <c r="N4" i="4" s="1"/>
  <c r="N2" i="4"/>
  <c r="M6" i="4"/>
  <c r="N6" i="4" s="1"/>
  <c r="M10" i="4"/>
  <c r="N10" i="4" s="1"/>
  <c r="M9" i="4"/>
  <c r="N9" i="4" s="1"/>
  <c r="L3" i="2"/>
  <c r="M3" i="2" s="1"/>
  <c r="V4" i="1"/>
  <c r="W4" i="1" s="1"/>
  <c r="V9" i="1"/>
  <c r="W9" i="1" s="1"/>
  <c r="V8" i="1"/>
  <c r="W8" i="1" s="1"/>
  <c r="M8" i="4"/>
  <c r="N8" i="4" s="1"/>
  <c r="M11" i="4"/>
  <c r="N11" i="4" s="1"/>
  <c r="M5" i="4"/>
  <c r="N5" i="4" s="1"/>
  <c r="L8" i="2"/>
  <c r="M8" i="2" s="1"/>
  <c r="L5" i="2"/>
  <c r="M5" i="2" s="1"/>
  <c r="L4" i="2"/>
  <c r="M4" i="2" s="1"/>
  <c r="H53" i="2"/>
  <c r="M3" i="1"/>
  <c r="N3" i="1" s="1"/>
  <c r="M4" i="1"/>
  <c r="N4" i="1" s="1"/>
  <c r="M6" i="1"/>
  <c r="N6" i="1" s="1"/>
  <c r="M7" i="1"/>
  <c r="N7" i="1" s="1"/>
  <c r="M8" i="1"/>
  <c r="N8" i="1" s="1"/>
  <c r="V3" i="1"/>
  <c r="W3" i="1" s="1"/>
  <c r="M9" i="1"/>
  <c r="N9" i="1" s="1"/>
  <c r="V2" i="1"/>
  <c r="W2" i="1" s="1"/>
  <c r="V6" i="1"/>
  <c r="W6" i="1" s="1"/>
  <c r="V11" i="1"/>
  <c r="W11" i="1" s="1"/>
  <c r="V7" i="1"/>
  <c r="W7" i="1" s="1"/>
  <c r="M10" i="1"/>
  <c r="N10" i="1" s="1"/>
  <c r="V5" i="1"/>
  <c r="W5" i="1" s="1"/>
  <c r="V10" i="1"/>
  <c r="W10" i="1" s="1"/>
  <c r="M5" i="1"/>
  <c r="N5" i="1" s="1"/>
  <c r="M11" i="1"/>
  <c r="N11" i="1" s="1"/>
  <c r="M2" i="1"/>
  <c r="N2" i="1" s="1"/>
  <c r="L10" i="2"/>
  <c r="M10" i="2" s="1"/>
  <c r="L9" i="2"/>
  <c r="M9" i="2" s="1"/>
  <c r="I5" i="2"/>
  <c r="L2" i="2" s="1"/>
  <c r="M2" i="2" s="1"/>
  <c r="L11" i="2"/>
  <c r="M11" i="2" s="1"/>
  <c r="L7" i="2"/>
  <c r="M7" i="2" s="1"/>
  <c r="L6" i="2"/>
  <c r="M6" i="2" s="1"/>
  <c r="M15" i="5" l="1"/>
  <c r="M13" i="5"/>
  <c r="M14" i="5"/>
  <c r="Q25" i="5" s="1"/>
  <c r="R25" i="5" s="1"/>
  <c r="U6" i="5" s="1"/>
  <c r="V6" i="5" s="1"/>
  <c r="Q10" i="5"/>
  <c r="R10" i="5" s="1"/>
  <c r="U3" i="5" s="1"/>
  <c r="V3" i="5" s="1"/>
  <c r="AX17" i="2"/>
  <c r="V14" i="2"/>
  <c r="V16" i="2"/>
  <c r="BG14" i="1"/>
  <c r="N13" i="1"/>
  <c r="W16" i="1"/>
  <c r="W14" i="1"/>
  <c r="W15" i="1"/>
  <c r="N15" i="1"/>
  <c r="N14" i="1"/>
  <c r="V15" i="5" l="1"/>
  <c r="V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Josefina Fernández</author>
  </authors>
  <commentList>
    <comment ref="J1" authorId="0" shapeId="0" xr:uid="{BA07D304-AFCE-4BA8-92B4-91E08A640449}">
      <text>
        <r>
          <rPr>
            <b/>
            <sz val="9"/>
            <color indexed="81"/>
            <rFont val="Tahoma"/>
            <family val="2"/>
          </rPr>
          <t>Josefina Fernández:</t>
        </r>
        <r>
          <rPr>
            <sz val="9"/>
            <color indexed="81"/>
            <rFont val="Tahoma"/>
            <family val="2"/>
          </rPr>
          <t xml:space="preserve">
Corer area (m2)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Josefina Fernández</author>
  </authors>
  <commentList>
    <comment ref="J1" authorId="0" shapeId="0" xr:uid="{37A7D6B7-8726-4015-8CD9-78714E42978B}">
      <text>
        <r>
          <rPr>
            <b/>
            <sz val="9"/>
            <color indexed="81"/>
            <rFont val="Tahoma"/>
            <family val="2"/>
          </rPr>
          <t>Josefina Fernández:</t>
        </r>
        <r>
          <rPr>
            <sz val="9"/>
            <color indexed="81"/>
            <rFont val="Tahoma"/>
            <family val="2"/>
          </rPr>
          <t xml:space="preserve">
Corer area m2</t>
        </r>
      </text>
    </comment>
  </commentList>
</comments>
</file>

<file path=xl/sharedStrings.xml><?xml version="1.0" encoding="utf-8"?>
<sst xmlns="http://schemas.openxmlformats.org/spreadsheetml/2006/main" count="1756" uniqueCount="144">
  <si>
    <t>ID</t>
  </si>
  <si>
    <t>Largo</t>
  </si>
  <si>
    <t>PSLC</t>
  </si>
  <si>
    <t>1b</t>
  </si>
  <si>
    <t>Donax</t>
  </si>
  <si>
    <t>1a</t>
  </si>
  <si>
    <t>1d</t>
  </si>
  <si>
    <t>4d</t>
  </si>
  <si>
    <t>Amarillodesma</t>
  </si>
  <si>
    <t>1c</t>
  </si>
  <si>
    <t xml:space="preserve">4a </t>
  </si>
  <si>
    <t>4b</t>
  </si>
  <si>
    <t>3e</t>
  </si>
  <si>
    <t>2a</t>
  </si>
  <si>
    <t>2d</t>
  </si>
  <si>
    <t>2e</t>
  </si>
  <si>
    <t>3b</t>
  </si>
  <si>
    <t>3c</t>
  </si>
  <si>
    <t>5a</t>
  </si>
  <si>
    <t xml:space="preserve">5b </t>
  </si>
  <si>
    <t>5c</t>
  </si>
  <si>
    <t>10a</t>
  </si>
  <si>
    <t>10b</t>
  </si>
  <si>
    <t>10c</t>
  </si>
  <si>
    <t>10d</t>
  </si>
  <si>
    <t>7a</t>
  </si>
  <si>
    <t>7b</t>
  </si>
  <si>
    <t>7c</t>
  </si>
  <si>
    <t>7e</t>
  </si>
  <si>
    <t>8b</t>
  </si>
  <si>
    <t>8c</t>
  </si>
  <si>
    <t>6a</t>
  </si>
  <si>
    <t>6b</t>
  </si>
  <si>
    <t>6c</t>
  </si>
  <si>
    <t>A</t>
  </si>
  <si>
    <t>B</t>
  </si>
  <si>
    <t>C</t>
  </si>
  <si>
    <t>D</t>
  </si>
  <si>
    <t>Anfípodo</t>
  </si>
  <si>
    <t xml:space="preserve">E </t>
  </si>
  <si>
    <t>POLIQUETOS 2021</t>
  </si>
  <si>
    <t>Poliqueto</t>
  </si>
  <si>
    <t xml:space="preserve">3e </t>
  </si>
  <si>
    <t>6E</t>
  </si>
  <si>
    <t>9Ca</t>
  </si>
  <si>
    <t>9Cb</t>
  </si>
  <si>
    <t>3D</t>
  </si>
  <si>
    <t>1e</t>
  </si>
  <si>
    <t>2b</t>
  </si>
  <si>
    <t>2c</t>
  </si>
  <si>
    <t>3a</t>
  </si>
  <si>
    <t>3d</t>
  </si>
  <si>
    <t>4a</t>
  </si>
  <si>
    <t>4c</t>
  </si>
  <si>
    <t>4e</t>
  </si>
  <si>
    <t>5b</t>
  </si>
  <si>
    <t>5d</t>
  </si>
  <si>
    <t>5e</t>
  </si>
  <si>
    <t>6d</t>
  </si>
  <si>
    <t>6e</t>
  </si>
  <si>
    <t>7d</t>
  </si>
  <si>
    <t>8a</t>
  </si>
  <si>
    <t>8d</t>
  </si>
  <si>
    <t>8e</t>
  </si>
  <si>
    <t>9a</t>
  </si>
  <si>
    <t>9b</t>
  </si>
  <si>
    <t>9c</t>
  </si>
  <si>
    <t>9d</t>
  </si>
  <si>
    <t>9e</t>
  </si>
  <si>
    <t>10e</t>
  </si>
  <si>
    <t>n ind</t>
  </si>
  <si>
    <t>1A</t>
  </si>
  <si>
    <t>1B</t>
  </si>
  <si>
    <t>1D</t>
  </si>
  <si>
    <t>1E</t>
  </si>
  <si>
    <t>2D</t>
  </si>
  <si>
    <t>3A</t>
  </si>
  <si>
    <t>5A</t>
  </si>
  <si>
    <t>10D</t>
  </si>
  <si>
    <t>Amarillo</t>
  </si>
  <si>
    <t>9C</t>
  </si>
  <si>
    <t>5D</t>
  </si>
  <si>
    <t>6C</t>
  </si>
  <si>
    <t>3C</t>
  </si>
  <si>
    <t>3E</t>
  </si>
  <si>
    <t>4A</t>
  </si>
  <si>
    <t>5B</t>
  </si>
  <si>
    <t>5C</t>
  </si>
  <si>
    <t>Isópodo</t>
  </si>
  <si>
    <t>Isópodos-anfipodos Julio</t>
  </si>
  <si>
    <t>5E</t>
  </si>
  <si>
    <t>6D</t>
  </si>
  <si>
    <t xml:space="preserve">7D </t>
  </si>
  <si>
    <t>ind/m2</t>
  </si>
  <si>
    <t>min</t>
  </si>
  <si>
    <t>max</t>
  </si>
  <si>
    <t>Min</t>
  </si>
  <si>
    <t>Max</t>
  </si>
  <si>
    <t>mediana</t>
  </si>
  <si>
    <t>Amarilla</t>
  </si>
  <si>
    <t>Grouped by transect</t>
  </si>
  <si>
    <t>Average</t>
  </si>
  <si>
    <t>AFDW</t>
  </si>
  <si>
    <t>Amphipods</t>
  </si>
  <si>
    <t>Median</t>
  </si>
  <si>
    <t>Sample</t>
  </si>
  <si>
    <t>Species</t>
  </si>
  <si>
    <t>polychaetes</t>
  </si>
  <si>
    <t>Isopods</t>
  </si>
  <si>
    <t>Polychaetes</t>
  </si>
  <si>
    <t>Grouped</t>
  </si>
  <si>
    <t>per m2</t>
  </si>
  <si>
    <t>Length (mm)</t>
  </si>
  <si>
    <t>Bivalves</t>
  </si>
  <si>
    <t>median</t>
  </si>
  <si>
    <t>Grouped by sample</t>
  </si>
  <si>
    <t>Transect</t>
  </si>
  <si>
    <t>Polychaetes 2021</t>
  </si>
  <si>
    <t>AFDW (mg)</t>
  </si>
  <si>
    <t>Average density</t>
  </si>
  <si>
    <t>ind/m2 (according corer diameter)</t>
  </si>
  <si>
    <t>Ind/m2</t>
  </si>
  <si>
    <t>n. ind</t>
  </si>
  <si>
    <t>density21</t>
  </si>
  <si>
    <t>density22</t>
  </si>
  <si>
    <t>biomass21</t>
  </si>
  <si>
    <t>biomass22</t>
  </si>
  <si>
    <t>Average biomass</t>
  </si>
  <si>
    <t>AFDW (g)</t>
  </si>
  <si>
    <t>Biomass per transect</t>
  </si>
  <si>
    <t>Isopods - Amphipods</t>
  </si>
  <si>
    <t>Density per transect</t>
  </si>
  <si>
    <t>average density</t>
  </si>
  <si>
    <t>n ind/m2</t>
  </si>
  <si>
    <t xml:space="preserve">Median </t>
  </si>
  <si>
    <t xml:space="preserve">Max </t>
  </si>
  <si>
    <t>Total Biomass 2021</t>
  </si>
  <si>
    <t>Total biomass 2022</t>
  </si>
  <si>
    <t>Total density 2022</t>
  </si>
  <si>
    <t>Total density 2021</t>
  </si>
  <si>
    <t>AFDW (mg)/m2</t>
  </si>
  <si>
    <t>AFDW(mg)/m2</t>
  </si>
  <si>
    <t>AFDW(mg)/M2</t>
  </si>
  <si>
    <t>AFDW(mg)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</si>
</sst>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2" fillId="2" borderId="0" xfId="0" applyFont="1" applyFill="1"/>
    <xf numFmtId="0" fontId="3" fillId="0" borderId="0" xfId="0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B9A8-2533-E241-82DB-70A724F18459}">
  <dimension ref="A1:BG98"/>
  <sheetViews>
    <sheetView topLeftCell="H1" workbookViewId="0">
      <selection activeCell="N18" sqref="N18"/>
    </sheetView>
  </sheetViews>
  <sheetFormatPr baseColWidth="10" defaultRowHeight="15.75" x14ac:dyDescent="0.5"/>
  <cols>
    <col min="3" max="3" width="13.4375" customWidth="1"/>
    <col min="7" max="7" width="16" customWidth="1"/>
    <col min="12" max="12" width="16.4375" customWidth="1"/>
    <col min="13" max="13" width="21.375" customWidth="1"/>
    <col min="14" max="14" width="14.5" customWidth="1"/>
    <col min="16" max="16" width="11.0625" customWidth="1"/>
    <col min="22" max="22" width="19.5" customWidth="1"/>
    <col min="31" max="31" width="17.4375" customWidth="1"/>
    <col min="32" max="32" width="14.875" customWidth="1"/>
    <col min="40" max="40" width="17.125" customWidth="1"/>
    <col min="49" max="49" width="16.6875" customWidth="1"/>
    <col min="50" max="50" width="14.6875" customWidth="1"/>
    <col min="58" max="58" width="17.875" customWidth="1"/>
    <col min="59" max="59" width="14.3125" customWidth="1"/>
  </cols>
  <sheetData>
    <row r="1" spans="1:59" s="6" customFormat="1" x14ac:dyDescent="0.5">
      <c r="A1" s="5" t="s">
        <v>0</v>
      </c>
      <c r="B1" s="5" t="s">
        <v>105</v>
      </c>
      <c r="C1" s="5" t="s">
        <v>106</v>
      </c>
      <c r="D1" s="5" t="s">
        <v>112</v>
      </c>
      <c r="E1" s="5" t="s">
        <v>118</v>
      </c>
      <c r="G1" s="5" t="s">
        <v>115</v>
      </c>
      <c r="H1" s="5" t="s">
        <v>70</v>
      </c>
      <c r="I1" s="6" t="s">
        <v>120</v>
      </c>
      <c r="J1" s="6">
        <v>9.4999999999999998E-3</v>
      </c>
      <c r="L1" s="6" t="s">
        <v>116</v>
      </c>
      <c r="M1" s="6" t="s">
        <v>131</v>
      </c>
      <c r="N1" s="6" t="s">
        <v>119</v>
      </c>
      <c r="P1" s="6" t="s">
        <v>113</v>
      </c>
      <c r="Q1" s="6" t="s">
        <v>110</v>
      </c>
      <c r="R1" s="6" t="s">
        <v>70</v>
      </c>
      <c r="S1" s="6" t="s">
        <v>93</v>
      </c>
      <c r="U1" s="6" t="s">
        <v>116</v>
      </c>
      <c r="V1" s="6" t="s">
        <v>131</v>
      </c>
      <c r="W1" s="6" t="s">
        <v>119</v>
      </c>
      <c r="Y1" s="6" t="s">
        <v>4</v>
      </c>
      <c r="Z1" s="6" t="s">
        <v>110</v>
      </c>
      <c r="AA1" s="6" t="s">
        <v>70</v>
      </c>
      <c r="AB1" s="6" t="s">
        <v>121</v>
      </c>
      <c r="AD1" s="6" t="s">
        <v>116</v>
      </c>
      <c r="AE1" s="6" t="s">
        <v>131</v>
      </c>
      <c r="AF1" s="6" t="s">
        <v>132</v>
      </c>
      <c r="AH1" s="6" t="s">
        <v>99</v>
      </c>
      <c r="AI1" s="6" t="s">
        <v>105</v>
      </c>
      <c r="AJ1" s="6" t="s">
        <v>70</v>
      </c>
      <c r="AK1" s="6" t="s">
        <v>133</v>
      </c>
      <c r="AM1" s="6" t="s">
        <v>116</v>
      </c>
      <c r="AN1" s="6" t="s">
        <v>131</v>
      </c>
      <c r="AO1" s="6" t="s">
        <v>119</v>
      </c>
      <c r="AQ1" s="6" t="s">
        <v>103</v>
      </c>
      <c r="AR1" s="5" t="s">
        <v>110</v>
      </c>
      <c r="AS1" s="6" t="s">
        <v>70</v>
      </c>
      <c r="AT1" s="6" t="s">
        <v>93</v>
      </c>
      <c r="AV1" s="6" t="s">
        <v>116</v>
      </c>
      <c r="AW1" s="6" t="s">
        <v>131</v>
      </c>
      <c r="AX1" s="6" t="s">
        <v>119</v>
      </c>
      <c r="AZ1" s="6" t="s">
        <v>109</v>
      </c>
      <c r="BA1" s="5" t="s">
        <v>110</v>
      </c>
      <c r="BB1" s="6" t="s">
        <v>70</v>
      </c>
      <c r="BC1" s="6" t="s">
        <v>93</v>
      </c>
      <c r="BE1" s="6" t="s">
        <v>116</v>
      </c>
      <c r="BF1" s="6" t="s">
        <v>131</v>
      </c>
      <c r="BG1" s="6" t="s">
        <v>119</v>
      </c>
    </row>
    <row r="2" spans="1:59" x14ac:dyDescent="0.5">
      <c r="A2" s="1">
        <v>1</v>
      </c>
      <c r="B2" s="1" t="s">
        <v>3</v>
      </c>
      <c r="C2" s="1" t="s">
        <v>4</v>
      </c>
      <c r="D2" s="1">
        <v>17.45</v>
      </c>
      <c r="E2" s="1">
        <v>5.2999999999999999E-2</v>
      </c>
      <c r="G2" t="s">
        <v>5</v>
      </c>
      <c r="H2">
        <f>COUNTIF(B2:B98, "1a")</f>
        <v>7</v>
      </c>
      <c r="J2">
        <f>H2/$J$1</f>
        <v>736.84210526315792</v>
      </c>
      <c r="L2">
        <v>1</v>
      </c>
      <c r="M2">
        <f>SUM(J2:J6)</f>
        <v>3473.6842105263158</v>
      </c>
      <c r="N2">
        <f>M2/5</f>
        <v>694.73684210526312</v>
      </c>
      <c r="P2" s="6"/>
      <c r="Q2" t="s">
        <v>5</v>
      </c>
      <c r="R2">
        <v>7</v>
      </c>
      <c r="S2">
        <f>R2/$J$1</f>
        <v>736.84210526315792</v>
      </c>
      <c r="U2">
        <v>1</v>
      </c>
      <c r="V2">
        <f>SUM(S2:S6)</f>
        <v>3473.6842105263158</v>
      </c>
      <c r="W2">
        <f>V2/5</f>
        <v>694.73684210526312</v>
      </c>
      <c r="Z2" t="s">
        <v>5</v>
      </c>
      <c r="AA2">
        <v>7</v>
      </c>
      <c r="AB2">
        <f>AA2/$J$1</f>
        <v>736.84210526315792</v>
      </c>
      <c r="AD2">
        <v>1</v>
      </c>
      <c r="AE2">
        <f>SUM(AB2:AB6)</f>
        <v>3473.6842105263158</v>
      </c>
      <c r="AF2">
        <f>AE2/5</f>
        <v>694.73684210526312</v>
      </c>
      <c r="AI2" t="s">
        <v>5</v>
      </c>
      <c r="AJ2">
        <v>0</v>
      </c>
      <c r="AK2">
        <f>AJ2/$J$1</f>
        <v>0</v>
      </c>
      <c r="AM2">
        <v>1</v>
      </c>
      <c r="AN2">
        <f>SUM(AK2:AK6)</f>
        <v>0</v>
      </c>
      <c r="AO2">
        <f>AN2/5</f>
        <v>0</v>
      </c>
      <c r="AR2" s="1" t="s">
        <v>5</v>
      </c>
      <c r="AS2">
        <v>0</v>
      </c>
      <c r="AT2">
        <f>AS2/$J$1</f>
        <v>0</v>
      </c>
      <c r="AV2">
        <v>1</v>
      </c>
      <c r="AW2">
        <v>0</v>
      </c>
      <c r="AX2">
        <v>0</v>
      </c>
      <c r="BA2" s="1" t="s">
        <v>5</v>
      </c>
      <c r="BB2">
        <v>0</v>
      </c>
      <c r="BC2">
        <f>BB2/$J$1</f>
        <v>0</v>
      </c>
      <c r="BE2">
        <v>1</v>
      </c>
      <c r="BF2">
        <v>0</v>
      </c>
      <c r="BG2">
        <f>BF2/5</f>
        <v>0</v>
      </c>
    </row>
    <row r="3" spans="1:59" x14ac:dyDescent="0.5">
      <c r="A3" s="1">
        <v>2</v>
      </c>
      <c r="B3" s="1" t="s">
        <v>3</v>
      </c>
      <c r="C3" s="1" t="s">
        <v>4</v>
      </c>
      <c r="D3" s="1">
        <v>16.37</v>
      </c>
      <c r="E3" s="1">
        <v>3.4000000000000002E-2</v>
      </c>
      <c r="G3" t="s">
        <v>3</v>
      </c>
      <c r="H3">
        <v>11</v>
      </c>
      <c r="J3">
        <f t="shared" ref="J3:J51" si="0">H3/$J$1</f>
        <v>1157.8947368421052</v>
      </c>
      <c r="L3">
        <v>2</v>
      </c>
      <c r="M3">
        <f>SUM(J7:J11)</f>
        <v>631.57894736842115</v>
      </c>
      <c r="N3">
        <f t="shared" ref="N3:N11" si="1">M3/5</f>
        <v>126.31578947368423</v>
      </c>
      <c r="Q3" t="s">
        <v>3</v>
      </c>
      <c r="R3">
        <v>11</v>
      </c>
      <c r="S3">
        <f t="shared" ref="S3:S51" si="2">R3/$J$1</f>
        <v>1157.8947368421052</v>
      </c>
      <c r="U3">
        <v>2</v>
      </c>
      <c r="V3">
        <f>SUM(S7:S11)</f>
        <v>631.57894736842115</v>
      </c>
      <c r="W3">
        <f t="shared" ref="W3:W11" si="3">V3/5</f>
        <v>126.31578947368423</v>
      </c>
      <c r="Z3" t="s">
        <v>3</v>
      </c>
      <c r="AA3">
        <v>11</v>
      </c>
      <c r="AB3">
        <f t="shared" ref="AB3:AB51" si="4">AA3/$J$1</f>
        <v>1157.8947368421052</v>
      </c>
      <c r="AD3">
        <v>2</v>
      </c>
      <c r="AE3">
        <f>SUM(AB7:AB11)</f>
        <v>421.0526315789474</v>
      </c>
      <c r="AF3">
        <f t="shared" ref="AF3:AF11" si="5">AE3/5</f>
        <v>84.21052631578948</v>
      </c>
      <c r="AI3" t="s">
        <v>3</v>
      </c>
      <c r="AJ3">
        <v>0</v>
      </c>
      <c r="AK3">
        <f t="shared" ref="AK3:AK51" si="6">AJ3/$J$1</f>
        <v>0</v>
      </c>
      <c r="AM3">
        <v>2</v>
      </c>
      <c r="AN3">
        <f>SUM(AK7:AK10)</f>
        <v>105.26315789473685</v>
      </c>
      <c r="AO3">
        <f t="shared" ref="AO3:AO11" si="7">AN3/5</f>
        <v>21.05263157894737</v>
      </c>
      <c r="AR3" s="1" t="s">
        <v>3</v>
      </c>
      <c r="AS3">
        <v>0</v>
      </c>
      <c r="AT3">
        <f t="shared" ref="AT3:AT51" si="8">AS3/$J$1</f>
        <v>0</v>
      </c>
      <c r="AV3">
        <v>2</v>
      </c>
      <c r="AW3">
        <v>0</v>
      </c>
      <c r="AX3">
        <v>0</v>
      </c>
      <c r="BA3" s="1" t="s">
        <v>3</v>
      </c>
      <c r="BB3">
        <v>0</v>
      </c>
      <c r="BC3">
        <f t="shared" ref="BC3:BC51" si="9">BB3/$J$1</f>
        <v>0</v>
      </c>
      <c r="BE3">
        <v>2</v>
      </c>
      <c r="BF3">
        <v>0</v>
      </c>
      <c r="BG3">
        <f t="shared" ref="BG3:BG11" si="10">BF3/5</f>
        <v>0</v>
      </c>
    </row>
    <row r="4" spans="1:59" x14ac:dyDescent="0.5">
      <c r="A4" s="1">
        <v>3</v>
      </c>
      <c r="B4" s="1" t="s">
        <v>3</v>
      </c>
      <c r="C4" s="1" t="s">
        <v>4</v>
      </c>
      <c r="D4" s="1">
        <v>18.14</v>
      </c>
      <c r="E4" s="1">
        <v>4.3999999999999997E-2</v>
      </c>
      <c r="G4" t="s">
        <v>9</v>
      </c>
      <c r="H4">
        <f>COUNTIF(B2:B98, "1c")</f>
        <v>14</v>
      </c>
      <c r="J4">
        <f t="shared" si="0"/>
        <v>1473.6842105263158</v>
      </c>
      <c r="L4">
        <v>3</v>
      </c>
      <c r="M4">
        <f>SUM(J12:J16)</f>
        <v>421.0526315789474</v>
      </c>
      <c r="N4">
        <f t="shared" si="1"/>
        <v>84.21052631578948</v>
      </c>
      <c r="Q4" t="s">
        <v>9</v>
      </c>
      <c r="R4">
        <v>14</v>
      </c>
      <c r="S4">
        <f t="shared" si="2"/>
        <v>1473.6842105263158</v>
      </c>
      <c r="U4">
        <v>3</v>
      </c>
      <c r="V4">
        <f>SUM(S12:S16)</f>
        <v>315.78947368421052</v>
      </c>
      <c r="W4">
        <f t="shared" si="3"/>
        <v>63.157894736842103</v>
      </c>
      <c r="Z4" t="s">
        <v>9</v>
      </c>
      <c r="AA4">
        <v>14</v>
      </c>
      <c r="AB4">
        <f t="shared" si="4"/>
        <v>1473.6842105263158</v>
      </c>
      <c r="AD4">
        <v>3</v>
      </c>
      <c r="AE4">
        <f>SUM(AB12:AB16)</f>
        <v>210.5263157894737</v>
      </c>
      <c r="AF4">
        <f t="shared" si="5"/>
        <v>42.10526315789474</v>
      </c>
      <c r="AI4" t="s">
        <v>9</v>
      </c>
      <c r="AJ4">
        <v>0</v>
      </c>
      <c r="AK4">
        <f t="shared" si="6"/>
        <v>0</v>
      </c>
      <c r="AM4">
        <v>3</v>
      </c>
      <c r="AN4">
        <f>SUM(AK12:AK16)</f>
        <v>105.26315789473685</v>
      </c>
      <c r="AO4">
        <f t="shared" si="7"/>
        <v>21.05263157894737</v>
      </c>
      <c r="AR4" s="1" t="s">
        <v>9</v>
      </c>
      <c r="AS4">
        <v>0</v>
      </c>
      <c r="AT4">
        <f t="shared" si="8"/>
        <v>0</v>
      </c>
      <c r="AV4">
        <v>3</v>
      </c>
      <c r="AW4">
        <v>0</v>
      </c>
      <c r="AX4">
        <v>0</v>
      </c>
      <c r="BA4" s="1" t="s">
        <v>9</v>
      </c>
      <c r="BB4">
        <v>0</v>
      </c>
      <c r="BC4">
        <f t="shared" si="9"/>
        <v>0</v>
      </c>
      <c r="BE4">
        <v>3</v>
      </c>
      <c r="BF4">
        <v>105.26315789473685</v>
      </c>
      <c r="BG4">
        <f t="shared" si="10"/>
        <v>21.05263157894737</v>
      </c>
    </row>
    <row r="5" spans="1:59" x14ac:dyDescent="0.5">
      <c r="A5" s="1">
        <v>4</v>
      </c>
      <c r="B5" s="1" t="s">
        <v>3</v>
      </c>
      <c r="C5" s="1" t="s">
        <v>4</v>
      </c>
      <c r="D5" s="1">
        <v>16.12</v>
      </c>
      <c r="E5" s="1">
        <v>2.8000000000000001E-2</v>
      </c>
      <c r="G5" t="s">
        <v>6</v>
      </c>
      <c r="H5">
        <f>COUNTIF(B2:B98, "1d")</f>
        <v>1</v>
      </c>
      <c r="J5">
        <f t="shared" si="0"/>
        <v>105.26315789473685</v>
      </c>
      <c r="L5">
        <v>4</v>
      </c>
      <c r="M5">
        <f>SUM(J17:J21)</f>
        <v>421.0526315789474</v>
      </c>
      <c r="N5">
        <f t="shared" si="1"/>
        <v>84.21052631578948</v>
      </c>
      <c r="Q5" t="s">
        <v>6</v>
      </c>
      <c r="R5">
        <v>1</v>
      </c>
      <c r="S5">
        <f t="shared" si="2"/>
        <v>105.26315789473685</v>
      </c>
      <c r="U5">
        <v>4</v>
      </c>
      <c r="V5">
        <f>SUM(S17:S21)</f>
        <v>421.0526315789474</v>
      </c>
      <c r="W5">
        <f t="shared" si="3"/>
        <v>84.21052631578948</v>
      </c>
      <c r="Z5" t="s">
        <v>6</v>
      </c>
      <c r="AA5">
        <v>1</v>
      </c>
      <c r="AB5">
        <f t="shared" si="4"/>
        <v>105.26315789473685</v>
      </c>
      <c r="AD5">
        <v>4</v>
      </c>
      <c r="AE5">
        <f>SUM(AB17:AB21)</f>
        <v>210.5263157894737</v>
      </c>
      <c r="AF5">
        <f t="shared" si="5"/>
        <v>42.10526315789474</v>
      </c>
      <c r="AI5" t="s">
        <v>6</v>
      </c>
      <c r="AJ5">
        <v>0</v>
      </c>
      <c r="AK5">
        <f t="shared" si="6"/>
        <v>0</v>
      </c>
      <c r="AM5">
        <v>4</v>
      </c>
      <c r="AN5">
        <f>SUM(AK17:AK21)</f>
        <v>210.5263157894737</v>
      </c>
      <c r="AO5">
        <f t="shared" si="7"/>
        <v>42.10526315789474</v>
      </c>
      <c r="AR5" s="1" t="s">
        <v>6</v>
      </c>
      <c r="AS5">
        <v>0</v>
      </c>
      <c r="AT5">
        <f t="shared" si="8"/>
        <v>0</v>
      </c>
      <c r="AV5">
        <v>4</v>
      </c>
      <c r="AW5">
        <v>0</v>
      </c>
      <c r="AX5">
        <v>0</v>
      </c>
      <c r="BA5" s="1" t="s">
        <v>6</v>
      </c>
      <c r="BB5">
        <v>0</v>
      </c>
      <c r="BC5">
        <f t="shared" si="9"/>
        <v>0</v>
      </c>
      <c r="BE5">
        <v>4</v>
      </c>
      <c r="BF5">
        <v>0</v>
      </c>
      <c r="BG5">
        <f t="shared" si="10"/>
        <v>0</v>
      </c>
    </row>
    <row r="6" spans="1:59" x14ac:dyDescent="0.5">
      <c r="A6" s="1">
        <v>5</v>
      </c>
      <c r="B6" s="1" t="s">
        <v>3</v>
      </c>
      <c r="C6" s="1" t="s">
        <v>4</v>
      </c>
      <c r="D6" s="1">
        <v>16.149999999999999</v>
      </c>
      <c r="E6" s="1">
        <v>0.03</v>
      </c>
      <c r="G6" t="s">
        <v>47</v>
      </c>
      <c r="H6">
        <f>COUNTIF(B2:B98, "1e")</f>
        <v>0</v>
      </c>
      <c r="J6">
        <f t="shared" si="0"/>
        <v>0</v>
      </c>
      <c r="L6">
        <v>5</v>
      </c>
      <c r="M6">
        <f>SUM(J22:J26)</f>
        <v>1263.1578947368421</v>
      </c>
      <c r="N6">
        <f t="shared" si="1"/>
        <v>252.63157894736841</v>
      </c>
      <c r="Q6" t="s">
        <v>47</v>
      </c>
      <c r="R6">
        <v>0</v>
      </c>
      <c r="S6">
        <f t="shared" si="2"/>
        <v>0</v>
      </c>
      <c r="U6">
        <v>5</v>
      </c>
      <c r="V6">
        <f>SUM(S22:S26)</f>
        <v>1052.6315789473683</v>
      </c>
      <c r="W6">
        <f t="shared" si="3"/>
        <v>210.52631578947367</v>
      </c>
      <c r="Z6" t="s">
        <v>47</v>
      </c>
      <c r="AA6">
        <v>0</v>
      </c>
      <c r="AB6">
        <f t="shared" si="4"/>
        <v>0</v>
      </c>
      <c r="AD6">
        <v>5</v>
      </c>
      <c r="AE6">
        <f>SUM(AB22:AB26)</f>
        <v>315.78947368421052</v>
      </c>
      <c r="AF6">
        <f t="shared" si="5"/>
        <v>63.157894736842103</v>
      </c>
      <c r="AI6" t="s">
        <v>47</v>
      </c>
      <c r="AJ6">
        <v>0</v>
      </c>
      <c r="AK6">
        <f t="shared" si="6"/>
        <v>0</v>
      </c>
      <c r="AM6">
        <v>5</v>
      </c>
      <c r="AN6">
        <f>SUM(AK22:AK26)</f>
        <v>736.84210526315792</v>
      </c>
      <c r="AO6">
        <f t="shared" si="7"/>
        <v>147.36842105263159</v>
      </c>
      <c r="AR6" s="1" t="s">
        <v>47</v>
      </c>
      <c r="AS6">
        <v>0</v>
      </c>
      <c r="AT6">
        <f t="shared" si="8"/>
        <v>0</v>
      </c>
      <c r="AV6">
        <v>5</v>
      </c>
      <c r="AW6">
        <v>0</v>
      </c>
      <c r="AX6">
        <v>0</v>
      </c>
      <c r="BA6" s="1" t="s">
        <v>47</v>
      </c>
      <c r="BB6">
        <v>0</v>
      </c>
      <c r="BC6">
        <f t="shared" si="9"/>
        <v>0</v>
      </c>
      <c r="BE6">
        <v>5</v>
      </c>
      <c r="BF6">
        <v>0</v>
      </c>
      <c r="BG6">
        <f t="shared" si="10"/>
        <v>0</v>
      </c>
    </row>
    <row r="7" spans="1:59" x14ac:dyDescent="0.5">
      <c r="A7" s="1">
        <v>6</v>
      </c>
      <c r="B7" s="1" t="s">
        <v>3</v>
      </c>
      <c r="C7" s="1" t="s">
        <v>4</v>
      </c>
      <c r="D7" s="1">
        <v>13.95</v>
      </c>
      <c r="E7" s="1">
        <v>1.7999999999999999E-2</v>
      </c>
      <c r="G7" t="s">
        <v>13</v>
      </c>
      <c r="H7">
        <f>COUNTIF(B2:B98, "2a")</f>
        <v>1</v>
      </c>
      <c r="J7">
        <f t="shared" si="0"/>
        <v>105.26315789473685</v>
      </c>
      <c r="L7">
        <v>6</v>
      </c>
      <c r="M7">
        <f>SUM(J27:J31)</f>
        <v>1263.1578947368421</v>
      </c>
      <c r="N7">
        <f t="shared" si="1"/>
        <v>252.63157894736841</v>
      </c>
      <c r="Q7" t="s">
        <v>13</v>
      </c>
      <c r="R7">
        <v>1</v>
      </c>
      <c r="S7">
        <f t="shared" si="2"/>
        <v>105.26315789473685</v>
      </c>
      <c r="U7">
        <v>6</v>
      </c>
      <c r="V7">
        <f>SUM(S27:S31)</f>
        <v>842.1052631578948</v>
      </c>
      <c r="W7">
        <f t="shared" si="3"/>
        <v>168.42105263157896</v>
      </c>
      <c r="Z7" t="s">
        <v>13</v>
      </c>
      <c r="AA7">
        <v>1</v>
      </c>
      <c r="AB7">
        <f t="shared" si="4"/>
        <v>105.26315789473685</v>
      </c>
      <c r="AD7">
        <v>6</v>
      </c>
      <c r="AE7">
        <f>SUM(AB27:AB31)</f>
        <v>0</v>
      </c>
      <c r="AF7">
        <f t="shared" si="5"/>
        <v>0</v>
      </c>
      <c r="AI7" t="s">
        <v>13</v>
      </c>
      <c r="AJ7">
        <v>0</v>
      </c>
      <c r="AK7">
        <f t="shared" si="6"/>
        <v>0</v>
      </c>
      <c r="AM7">
        <v>6</v>
      </c>
      <c r="AN7">
        <f>SUM(AK27:AK31)</f>
        <v>842.1052631578948</v>
      </c>
      <c r="AO7">
        <f t="shared" si="7"/>
        <v>168.42105263157896</v>
      </c>
      <c r="AR7" s="1" t="s">
        <v>13</v>
      </c>
      <c r="AS7">
        <v>0</v>
      </c>
      <c r="AT7">
        <f t="shared" si="8"/>
        <v>0</v>
      </c>
      <c r="AV7">
        <v>6</v>
      </c>
      <c r="AW7">
        <v>105.26315789473685</v>
      </c>
      <c r="AX7">
        <f>AW7/5</f>
        <v>21.05263157894737</v>
      </c>
      <c r="BA7" s="1" t="s">
        <v>13</v>
      </c>
      <c r="BB7">
        <v>0</v>
      </c>
      <c r="BC7">
        <f t="shared" si="9"/>
        <v>0</v>
      </c>
      <c r="BE7">
        <v>6</v>
      </c>
      <c r="BF7">
        <f>SUM(BC28:BC31)</f>
        <v>315.78947368421052</v>
      </c>
      <c r="BG7">
        <f t="shared" si="10"/>
        <v>63.157894736842103</v>
      </c>
    </row>
    <row r="8" spans="1:59" x14ac:dyDescent="0.5">
      <c r="A8" s="1">
        <v>7</v>
      </c>
      <c r="B8" s="1" t="s">
        <v>3</v>
      </c>
      <c r="C8" s="1" t="s">
        <v>4</v>
      </c>
      <c r="D8" s="1">
        <v>13.37</v>
      </c>
      <c r="E8" s="1">
        <v>1.2E-2</v>
      </c>
      <c r="G8" t="s">
        <v>48</v>
      </c>
      <c r="H8">
        <f>COUNTIF(B2:B98, "2b")</f>
        <v>0</v>
      </c>
      <c r="J8">
        <f t="shared" si="0"/>
        <v>0</v>
      </c>
      <c r="L8">
        <v>7</v>
      </c>
      <c r="M8">
        <f>SUM(J32:J36)</f>
        <v>631.57894736842104</v>
      </c>
      <c r="N8">
        <f t="shared" si="1"/>
        <v>126.31578947368421</v>
      </c>
      <c r="Q8" t="s">
        <v>48</v>
      </c>
      <c r="R8">
        <v>0</v>
      </c>
      <c r="S8">
        <f t="shared" si="2"/>
        <v>0</v>
      </c>
      <c r="U8">
        <v>7</v>
      </c>
      <c r="V8">
        <f>SUM(S32:S36)</f>
        <v>631.57894736842104</v>
      </c>
      <c r="W8">
        <f t="shared" si="3"/>
        <v>126.31578947368421</v>
      </c>
      <c r="Z8" t="s">
        <v>48</v>
      </c>
      <c r="AA8">
        <v>0</v>
      </c>
      <c r="AB8">
        <f t="shared" si="4"/>
        <v>0</v>
      </c>
      <c r="AD8">
        <v>7</v>
      </c>
      <c r="AE8">
        <f>SUM(AB32:AB36)</f>
        <v>315.78947368421052</v>
      </c>
      <c r="AF8">
        <f t="shared" si="5"/>
        <v>63.157894736842103</v>
      </c>
      <c r="AI8" t="s">
        <v>48</v>
      </c>
      <c r="AJ8">
        <v>0</v>
      </c>
      <c r="AK8">
        <f t="shared" si="6"/>
        <v>0</v>
      </c>
      <c r="AM8">
        <v>7</v>
      </c>
      <c r="AN8">
        <f>SUM(AK32:AK36)</f>
        <v>315.78947368421052</v>
      </c>
      <c r="AO8">
        <f t="shared" si="7"/>
        <v>63.157894736842103</v>
      </c>
      <c r="AR8" s="1" t="s">
        <v>48</v>
      </c>
      <c r="AS8">
        <v>0</v>
      </c>
      <c r="AT8">
        <f t="shared" si="8"/>
        <v>0</v>
      </c>
      <c r="AV8">
        <v>7</v>
      </c>
      <c r="AW8">
        <v>0</v>
      </c>
      <c r="AX8">
        <v>0</v>
      </c>
      <c r="BA8" s="1" t="s">
        <v>48</v>
      </c>
      <c r="BB8">
        <v>0</v>
      </c>
      <c r="BC8">
        <f t="shared" si="9"/>
        <v>0</v>
      </c>
      <c r="BE8">
        <v>7</v>
      </c>
      <c r="BF8">
        <v>0</v>
      </c>
      <c r="BG8">
        <f t="shared" si="10"/>
        <v>0</v>
      </c>
    </row>
    <row r="9" spans="1:59" x14ac:dyDescent="0.5">
      <c r="A9" s="1">
        <v>8</v>
      </c>
      <c r="B9" s="1" t="s">
        <v>3</v>
      </c>
      <c r="C9" s="1" t="s">
        <v>4</v>
      </c>
      <c r="D9" s="1">
        <v>12.85</v>
      </c>
      <c r="E9" s="1">
        <v>1.2999999999999999E-2</v>
      </c>
      <c r="G9" t="s">
        <v>49</v>
      </c>
      <c r="H9">
        <f>COUNTIF(B2:B98, "2c")</f>
        <v>0</v>
      </c>
      <c r="J9">
        <f t="shared" si="0"/>
        <v>0</v>
      </c>
      <c r="L9">
        <v>8</v>
      </c>
      <c r="M9">
        <f>SUM(J37:J41)</f>
        <v>526.31578947368428</v>
      </c>
      <c r="N9">
        <f t="shared" si="1"/>
        <v>105.26315789473685</v>
      </c>
      <c r="Q9" t="s">
        <v>49</v>
      </c>
      <c r="R9">
        <v>0</v>
      </c>
      <c r="S9">
        <f t="shared" si="2"/>
        <v>0</v>
      </c>
      <c r="U9">
        <v>8</v>
      </c>
      <c r="V9">
        <f>SUM(S37:S41)</f>
        <v>421.0526315789474</v>
      </c>
      <c r="W9">
        <f t="shared" si="3"/>
        <v>84.21052631578948</v>
      </c>
      <c r="Z9" t="s">
        <v>49</v>
      </c>
      <c r="AA9">
        <v>0</v>
      </c>
      <c r="AB9">
        <f t="shared" si="4"/>
        <v>0</v>
      </c>
      <c r="AD9">
        <v>8</v>
      </c>
      <c r="AE9">
        <f>SUM(AB37:AB41)</f>
        <v>105.26315789473685</v>
      </c>
      <c r="AF9">
        <f t="shared" si="5"/>
        <v>21.05263157894737</v>
      </c>
      <c r="AI9" t="s">
        <v>49</v>
      </c>
      <c r="AJ9">
        <v>0</v>
      </c>
      <c r="AK9">
        <f t="shared" si="6"/>
        <v>0</v>
      </c>
      <c r="AM9">
        <v>8</v>
      </c>
      <c r="AN9">
        <f>SUM(AK37:AK41)</f>
        <v>315.78947368421052</v>
      </c>
      <c r="AO9">
        <f t="shared" si="7"/>
        <v>63.157894736842103</v>
      </c>
      <c r="AR9" s="1" t="s">
        <v>49</v>
      </c>
      <c r="AS9">
        <v>0</v>
      </c>
      <c r="AT9">
        <f t="shared" si="8"/>
        <v>0</v>
      </c>
      <c r="AV9">
        <v>8</v>
      </c>
      <c r="AW9">
        <v>0</v>
      </c>
      <c r="AX9">
        <v>0</v>
      </c>
      <c r="BA9" s="1" t="s">
        <v>49</v>
      </c>
      <c r="BB9">
        <v>0</v>
      </c>
      <c r="BC9">
        <f t="shared" si="9"/>
        <v>0</v>
      </c>
      <c r="BE9">
        <v>8</v>
      </c>
      <c r="BF9">
        <v>105.26315789473685</v>
      </c>
      <c r="BG9">
        <f t="shared" si="10"/>
        <v>21.05263157894737</v>
      </c>
    </row>
    <row r="10" spans="1:59" x14ac:dyDescent="0.5">
      <c r="A10" s="1">
        <v>9</v>
      </c>
      <c r="B10" s="1" t="s">
        <v>3</v>
      </c>
      <c r="C10" s="1" t="s">
        <v>4</v>
      </c>
      <c r="D10" s="1">
        <v>12.56</v>
      </c>
      <c r="E10" s="1">
        <v>0.01</v>
      </c>
      <c r="G10" t="s">
        <v>14</v>
      </c>
      <c r="H10">
        <f>COUNTIF(B2:B98, "2d")</f>
        <v>4</v>
      </c>
      <c r="J10">
        <f t="shared" si="0"/>
        <v>421.0526315789474</v>
      </c>
      <c r="L10">
        <v>9</v>
      </c>
      <c r="M10">
        <f>SUM(J42:J46)</f>
        <v>210.5263157894737</v>
      </c>
      <c r="N10">
        <f t="shared" si="1"/>
        <v>42.10526315789474</v>
      </c>
      <c r="Q10" t="s">
        <v>14</v>
      </c>
      <c r="R10">
        <v>4</v>
      </c>
      <c r="S10">
        <f t="shared" si="2"/>
        <v>421.0526315789474</v>
      </c>
      <c r="U10">
        <v>9</v>
      </c>
      <c r="V10">
        <f>SUM(S42:S46)</f>
        <v>0</v>
      </c>
      <c r="W10">
        <f t="shared" si="3"/>
        <v>0</v>
      </c>
      <c r="Z10" t="s">
        <v>14</v>
      </c>
      <c r="AA10">
        <v>3</v>
      </c>
      <c r="AB10">
        <f t="shared" si="4"/>
        <v>315.78947368421052</v>
      </c>
      <c r="AD10">
        <v>9</v>
      </c>
      <c r="AE10">
        <f>SUM(AB42:AB46)</f>
        <v>0</v>
      </c>
      <c r="AF10">
        <f t="shared" si="5"/>
        <v>0</v>
      </c>
      <c r="AI10" t="s">
        <v>14</v>
      </c>
      <c r="AJ10">
        <v>1</v>
      </c>
      <c r="AK10">
        <f t="shared" si="6"/>
        <v>105.26315789473685</v>
      </c>
      <c r="AM10">
        <v>9</v>
      </c>
      <c r="AN10">
        <f>SUM(AK42:AK46)</f>
        <v>0</v>
      </c>
      <c r="AO10">
        <f t="shared" si="7"/>
        <v>0</v>
      </c>
      <c r="AR10" s="1" t="s">
        <v>14</v>
      </c>
      <c r="AS10">
        <v>0</v>
      </c>
      <c r="AT10">
        <f t="shared" si="8"/>
        <v>0</v>
      </c>
      <c r="AV10">
        <v>9</v>
      </c>
      <c r="AW10">
        <v>0</v>
      </c>
      <c r="AX10">
        <v>0</v>
      </c>
      <c r="BA10" s="1" t="s">
        <v>14</v>
      </c>
      <c r="BB10">
        <v>0</v>
      </c>
      <c r="BC10">
        <f t="shared" si="9"/>
        <v>0</v>
      </c>
      <c r="BE10">
        <v>9</v>
      </c>
      <c r="BF10">
        <v>210.5263157894737</v>
      </c>
      <c r="BG10">
        <f t="shared" si="10"/>
        <v>42.10526315789474</v>
      </c>
    </row>
    <row r="11" spans="1:59" x14ac:dyDescent="0.5">
      <c r="A11" s="1">
        <v>10</v>
      </c>
      <c r="B11" s="1" t="s">
        <v>3</v>
      </c>
      <c r="C11" s="1" t="s">
        <v>4</v>
      </c>
      <c r="D11" s="1">
        <v>9.0500000000000007</v>
      </c>
      <c r="E11" s="1">
        <v>0</v>
      </c>
      <c r="G11" t="s">
        <v>15</v>
      </c>
      <c r="H11">
        <f>COUNTIF(B2:B98, "2e")</f>
        <v>1</v>
      </c>
      <c r="J11">
        <f t="shared" si="0"/>
        <v>105.26315789473685</v>
      </c>
      <c r="L11">
        <v>10</v>
      </c>
      <c r="M11">
        <f>SUM(J47:J51)</f>
        <v>1157.8947368421054</v>
      </c>
      <c r="N11">
        <f t="shared" si="1"/>
        <v>231.5789473684211</v>
      </c>
      <c r="Q11" t="s">
        <v>15</v>
      </c>
      <c r="R11">
        <v>1</v>
      </c>
      <c r="S11">
        <f t="shared" si="2"/>
        <v>105.26315789473685</v>
      </c>
      <c r="U11">
        <v>10</v>
      </c>
      <c r="V11">
        <f>SUM(S47:S51)</f>
        <v>1157.8947368421054</v>
      </c>
      <c r="W11">
        <f t="shared" si="3"/>
        <v>231.5789473684211</v>
      </c>
      <c r="Z11" t="s">
        <v>15</v>
      </c>
      <c r="AA11">
        <v>0</v>
      </c>
      <c r="AB11">
        <f t="shared" si="4"/>
        <v>0</v>
      </c>
      <c r="AD11">
        <v>10</v>
      </c>
      <c r="AE11">
        <f>SUM(AB47:AB51)</f>
        <v>1157.8947368421054</v>
      </c>
      <c r="AF11">
        <f t="shared" si="5"/>
        <v>231.5789473684211</v>
      </c>
      <c r="AI11" t="s">
        <v>15</v>
      </c>
      <c r="AJ11">
        <v>1</v>
      </c>
      <c r="AK11">
        <f t="shared" si="6"/>
        <v>105.26315789473685</v>
      </c>
      <c r="AM11">
        <v>10</v>
      </c>
      <c r="AN11">
        <v>0</v>
      </c>
      <c r="AO11">
        <f t="shared" si="7"/>
        <v>0</v>
      </c>
      <c r="AR11" s="1" t="s">
        <v>15</v>
      </c>
      <c r="AS11">
        <v>0</v>
      </c>
      <c r="AT11">
        <f t="shared" si="8"/>
        <v>0</v>
      </c>
      <c r="AV11">
        <v>10</v>
      </c>
      <c r="AW11">
        <v>0</v>
      </c>
      <c r="AX11">
        <v>0</v>
      </c>
      <c r="BA11" s="1" t="s">
        <v>15</v>
      </c>
      <c r="BB11">
        <v>0</v>
      </c>
      <c r="BC11">
        <f t="shared" si="9"/>
        <v>0</v>
      </c>
      <c r="BE11">
        <v>10</v>
      </c>
      <c r="BF11">
        <v>0</v>
      </c>
      <c r="BG11">
        <f t="shared" si="10"/>
        <v>0</v>
      </c>
    </row>
    <row r="12" spans="1:59" x14ac:dyDescent="0.5">
      <c r="A12" s="1">
        <v>11</v>
      </c>
      <c r="B12" s="1" t="s">
        <v>5</v>
      </c>
      <c r="C12" s="3" t="s">
        <v>4</v>
      </c>
      <c r="D12" s="3">
        <v>19.579999999999998</v>
      </c>
      <c r="E12" s="3">
        <v>4.9000000000000002E-2</v>
      </c>
      <c r="G12" t="s">
        <v>50</v>
      </c>
      <c r="H12">
        <f>COUNTIF(B3:B99, "3a")</f>
        <v>0</v>
      </c>
      <c r="J12">
        <f t="shared" si="0"/>
        <v>0</v>
      </c>
      <c r="Q12" t="s">
        <v>50</v>
      </c>
      <c r="R12">
        <v>0</v>
      </c>
      <c r="S12">
        <f t="shared" si="2"/>
        <v>0</v>
      </c>
      <c r="Z12" t="s">
        <v>50</v>
      </c>
      <c r="AA12">
        <v>0</v>
      </c>
      <c r="AB12">
        <f t="shared" si="4"/>
        <v>0</v>
      </c>
      <c r="AI12" t="s">
        <v>50</v>
      </c>
      <c r="AJ12">
        <v>0</v>
      </c>
      <c r="AK12">
        <f t="shared" si="6"/>
        <v>0</v>
      </c>
      <c r="AR12" t="s">
        <v>50</v>
      </c>
      <c r="AS12">
        <v>0</v>
      </c>
      <c r="AT12">
        <f t="shared" si="8"/>
        <v>0</v>
      </c>
      <c r="BA12" t="s">
        <v>50</v>
      </c>
      <c r="BB12">
        <v>0</v>
      </c>
      <c r="BC12">
        <f t="shared" si="9"/>
        <v>0</v>
      </c>
    </row>
    <row r="13" spans="1:59" x14ac:dyDescent="0.5">
      <c r="A13" s="1">
        <v>12</v>
      </c>
      <c r="B13" s="1" t="s">
        <v>5</v>
      </c>
      <c r="C13" s="3" t="s">
        <v>4</v>
      </c>
      <c r="D13" s="3">
        <v>17.190000000000001</v>
      </c>
      <c r="E13" s="3">
        <v>3.4000000000000002E-2</v>
      </c>
      <c r="G13" t="s">
        <v>16</v>
      </c>
      <c r="H13">
        <f>COUNTIF(B4:B100, "3b")</f>
        <v>1</v>
      </c>
      <c r="J13">
        <f t="shared" si="0"/>
        <v>105.26315789473685</v>
      </c>
      <c r="L13" t="s">
        <v>139</v>
      </c>
      <c r="M13" t="s">
        <v>104</v>
      </c>
      <c r="N13">
        <f>MEDIAN(N2:N11)</f>
        <v>126.31578947368422</v>
      </c>
      <c r="Q13" t="s">
        <v>16</v>
      </c>
      <c r="R13">
        <v>1</v>
      </c>
      <c r="S13">
        <f t="shared" si="2"/>
        <v>105.26315789473685</v>
      </c>
      <c r="Z13" t="s">
        <v>16</v>
      </c>
      <c r="AA13">
        <v>0</v>
      </c>
      <c r="AB13">
        <f t="shared" si="4"/>
        <v>0</v>
      </c>
      <c r="AI13" t="s">
        <v>16</v>
      </c>
      <c r="AJ13">
        <v>1</v>
      </c>
      <c r="AK13">
        <f t="shared" si="6"/>
        <v>105.26315789473685</v>
      </c>
      <c r="AR13" t="s">
        <v>16</v>
      </c>
      <c r="AS13">
        <v>0</v>
      </c>
      <c r="AT13">
        <f t="shared" si="8"/>
        <v>0</v>
      </c>
      <c r="BA13" t="s">
        <v>16</v>
      </c>
      <c r="BB13">
        <v>0</v>
      </c>
      <c r="BC13">
        <f t="shared" si="9"/>
        <v>0</v>
      </c>
    </row>
    <row r="14" spans="1:59" x14ac:dyDescent="0.5">
      <c r="A14" s="1">
        <v>13</v>
      </c>
      <c r="B14" s="1" t="s">
        <v>5</v>
      </c>
      <c r="C14" s="3" t="s">
        <v>4</v>
      </c>
      <c r="D14" s="3">
        <v>16.670000000000002</v>
      </c>
      <c r="E14" s="3">
        <v>2.5999999999999999E-2</v>
      </c>
      <c r="G14" t="s">
        <v>17</v>
      </c>
      <c r="H14">
        <f>COUNTIF(B5:B101, "3c")</f>
        <v>1</v>
      </c>
      <c r="J14">
        <f t="shared" si="0"/>
        <v>105.26315789473685</v>
      </c>
      <c r="M14" t="s">
        <v>96</v>
      </c>
      <c r="N14">
        <f>MIN(N2:N11)</f>
        <v>42.10526315789474</v>
      </c>
      <c r="Q14" t="s">
        <v>17</v>
      </c>
      <c r="R14">
        <v>1</v>
      </c>
      <c r="S14">
        <f t="shared" si="2"/>
        <v>105.26315789473685</v>
      </c>
      <c r="V14" t="s">
        <v>104</v>
      </c>
      <c r="W14">
        <f>MEDIAN(W2:W11)</f>
        <v>126.31578947368422</v>
      </c>
      <c r="Z14" t="s">
        <v>17</v>
      </c>
      <c r="AA14">
        <v>1</v>
      </c>
      <c r="AB14">
        <f t="shared" si="4"/>
        <v>105.26315789473685</v>
      </c>
      <c r="AE14" t="s">
        <v>114</v>
      </c>
      <c r="AF14">
        <f>MEDIAN(AF2:AF11)</f>
        <v>52.631578947368425</v>
      </c>
      <c r="AI14" t="s">
        <v>17</v>
      </c>
      <c r="AJ14">
        <v>0</v>
      </c>
      <c r="AK14">
        <f t="shared" si="6"/>
        <v>0</v>
      </c>
      <c r="AN14" t="s">
        <v>104</v>
      </c>
      <c r="AO14">
        <f>MEDIAN(AO2:AO11)</f>
        <v>31.578947368421055</v>
      </c>
      <c r="AR14" t="s">
        <v>17</v>
      </c>
      <c r="AS14">
        <v>0</v>
      </c>
      <c r="AT14">
        <f t="shared" si="8"/>
        <v>0</v>
      </c>
      <c r="AW14" t="s">
        <v>104</v>
      </c>
      <c r="AX14">
        <f>MEDIAN(AX2:AX11)</f>
        <v>0</v>
      </c>
      <c r="BA14" t="s">
        <v>17</v>
      </c>
      <c r="BB14">
        <v>0</v>
      </c>
      <c r="BC14">
        <f t="shared" si="9"/>
        <v>0</v>
      </c>
      <c r="BF14" t="s">
        <v>104</v>
      </c>
      <c r="BG14">
        <f>MEDIAN(BG2:BG11)</f>
        <v>0</v>
      </c>
    </row>
    <row r="15" spans="1:59" x14ac:dyDescent="0.5">
      <c r="A15" s="1">
        <v>14</v>
      </c>
      <c r="B15" s="1" t="s">
        <v>5</v>
      </c>
      <c r="C15" s="3" t="s">
        <v>4</v>
      </c>
      <c r="D15" s="3">
        <v>16.149999999999999</v>
      </c>
      <c r="E15" s="3">
        <v>1.6E-2</v>
      </c>
      <c r="G15" t="s">
        <v>51</v>
      </c>
      <c r="H15">
        <f>COUNTIF(B6:B102, "3d")</f>
        <v>0</v>
      </c>
      <c r="J15">
        <f t="shared" si="0"/>
        <v>0</v>
      </c>
      <c r="M15" t="s">
        <v>97</v>
      </c>
      <c r="N15">
        <f>MAX(N2:N11)</f>
        <v>694.73684210526312</v>
      </c>
      <c r="Q15" t="s">
        <v>51</v>
      </c>
      <c r="R15">
        <v>0</v>
      </c>
      <c r="S15">
        <f t="shared" si="2"/>
        <v>0</v>
      </c>
      <c r="V15" t="s">
        <v>96</v>
      </c>
      <c r="W15">
        <f>MIN(W2:W11)</f>
        <v>0</v>
      </c>
      <c r="Z15" t="s">
        <v>51</v>
      </c>
      <c r="AA15">
        <v>0</v>
      </c>
      <c r="AB15">
        <f t="shared" si="4"/>
        <v>0</v>
      </c>
      <c r="AE15" t="s">
        <v>94</v>
      </c>
      <c r="AF15">
        <v>0</v>
      </c>
      <c r="AI15" t="s">
        <v>51</v>
      </c>
      <c r="AJ15">
        <v>0</v>
      </c>
      <c r="AK15">
        <f t="shared" si="6"/>
        <v>0</v>
      </c>
      <c r="AN15" t="s">
        <v>94</v>
      </c>
      <c r="AO15">
        <f>MIN(AO2:AO11)</f>
        <v>0</v>
      </c>
      <c r="AR15" t="s">
        <v>51</v>
      </c>
      <c r="AS15">
        <v>0</v>
      </c>
      <c r="AT15">
        <f t="shared" si="8"/>
        <v>0</v>
      </c>
      <c r="AW15" t="s">
        <v>94</v>
      </c>
      <c r="AX15">
        <v>0</v>
      </c>
      <c r="BA15" t="s">
        <v>51</v>
      </c>
      <c r="BB15">
        <v>0</v>
      </c>
      <c r="BC15">
        <f t="shared" si="9"/>
        <v>0</v>
      </c>
      <c r="BF15" t="s">
        <v>96</v>
      </c>
      <c r="BG15">
        <v>0</v>
      </c>
    </row>
    <row r="16" spans="1:59" x14ac:dyDescent="0.5">
      <c r="A16" s="1">
        <v>15</v>
      </c>
      <c r="B16" s="1" t="s">
        <v>5</v>
      </c>
      <c r="C16" s="3" t="s">
        <v>4</v>
      </c>
      <c r="D16" s="3">
        <v>13.53</v>
      </c>
      <c r="E16" s="3">
        <v>1.4E-2</v>
      </c>
      <c r="G16" t="s">
        <v>12</v>
      </c>
      <c r="H16">
        <v>2</v>
      </c>
      <c r="J16">
        <f t="shared" si="0"/>
        <v>210.5263157894737</v>
      </c>
      <c r="Q16" t="s">
        <v>12</v>
      </c>
      <c r="R16">
        <v>1</v>
      </c>
      <c r="S16">
        <f t="shared" si="2"/>
        <v>105.26315789473685</v>
      </c>
      <c r="V16" t="s">
        <v>97</v>
      </c>
      <c r="W16">
        <f>MAX(W2:W11)</f>
        <v>694.73684210526312</v>
      </c>
      <c r="Z16" t="s">
        <v>12</v>
      </c>
      <c r="AA16">
        <v>1</v>
      </c>
      <c r="AB16">
        <f t="shared" si="4"/>
        <v>105.26315789473685</v>
      </c>
      <c r="AE16" t="s">
        <v>95</v>
      </c>
      <c r="AF16">
        <f>MAX(AF2:AF11)</f>
        <v>694.73684210526312</v>
      </c>
      <c r="AI16" t="s">
        <v>12</v>
      </c>
      <c r="AJ16">
        <v>0</v>
      </c>
      <c r="AK16">
        <f t="shared" si="6"/>
        <v>0</v>
      </c>
      <c r="AN16" t="s">
        <v>95</v>
      </c>
      <c r="AO16">
        <f>MAX(AO2:AO11)</f>
        <v>168.42105263157896</v>
      </c>
      <c r="AR16" t="s">
        <v>12</v>
      </c>
      <c r="AS16">
        <v>0</v>
      </c>
      <c r="AT16">
        <f t="shared" si="8"/>
        <v>0</v>
      </c>
      <c r="AW16" t="s">
        <v>95</v>
      </c>
      <c r="AX16">
        <v>21.05</v>
      </c>
      <c r="BA16" t="s">
        <v>12</v>
      </c>
      <c r="BB16">
        <v>1</v>
      </c>
      <c r="BC16">
        <f t="shared" si="9"/>
        <v>105.26315789473685</v>
      </c>
      <c r="BF16" t="s">
        <v>97</v>
      </c>
      <c r="BG16">
        <f>MAX(BG2:BG11)</f>
        <v>63.157894736842103</v>
      </c>
    </row>
    <row r="17" spans="1:55" x14ac:dyDescent="0.5">
      <c r="A17" s="1">
        <v>16</v>
      </c>
      <c r="B17" s="1" t="s">
        <v>5</v>
      </c>
      <c r="C17" s="3" t="s">
        <v>4</v>
      </c>
      <c r="D17" s="3">
        <v>12.34</v>
      </c>
      <c r="E17" s="3">
        <v>0</v>
      </c>
      <c r="G17" t="s">
        <v>52</v>
      </c>
      <c r="H17">
        <v>1</v>
      </c>
      <c r="J17">
        <f t="shared" si="0"/>
        <v>105.26315789473685</v>
      </c>
      <c r="Q17" t="s">
        <v>52</v>
      </c>
      <c r="R17">
        <v>1</v>
      </c>
      <c r="S17">
        <f t="shared" si="2"/>
        <v>105.26315789473685</v>
      </c>
      <c r="Z17" t="s">
        <v>52</v>
      </c>
      <c r="AA17">
        <v>1</v>
      </c>
      <c r="AB17">
        <f t="shared" si="4"/>
        <v>105.26315789473685</v>
      </c>
      <c r="AI17" t="s">
        <v>52</v>
      </c>
      <c r="AJ17">
        <v>0</v>
      </c>
      <c r="AK17">
        <f t="shared" si="6"/>
        <v>0</v>
      </c>
      <c r="AR17" t="s">
        <v>52</v>
      </c>
      <c r="AS17">
        <v>0</v>
      </c>
      <c r="AT17">
        <f t="shared" si="8"/>
        <v>0</v>
      </c>
      <c r="BA17" t="s">
        <v>52</v>
      </c>
      <c r="BB17">
        <v>0</v>
      </c>
      <c r="BC17">
        <f t="shared" si="9"/>
        <v>0</v>
      </c>
    </row>
    <row r="18" spans="1:55" x14ac:dyDescent="0.5">
      <c r="A18" s="1">
        <v>17</v>
      </c>
      <c r="B18" s="1" t="s">
        <v>5</v>
      </c>
      <c r="C18" s="3" t="s">
        <v>4</v>
      </c>
      <c r="D18" s="3">
        <v>12.76</v>
      </c>
      <c r="E18" s="3">
        <v>6.0000000000000001E-3</v>
      </c>
      <c r="G18" t="s">
        <v>11</v>
      </c>
      <c r="H18">
        <f>COUNTIF(B9:B105, "4b")</f>
        <v>2</v>
      </c>
      <c r="J18">
        <f t="shared" si="0"/>
        <v>210.5263157894737</v>
      </c>
      <c r="Q18" t="s">
        <v>11</v>
      </c>
      <c r="R18">
        <v>2</v>
      </c>
      <c r="S18">
        <f t="shared" si="2"/>
        <v>210.5263157894737</v>
      </c>
      <c r="Z18" t="s">
        <v>11</v>
      </c>
      <c r="AA18">
        <v>1</v>
      </c>
      <c r="AB18">
        <f t="shared" si="4"/>
        <v>105.26315789473685</v>
      </c>
      <c r="AI18" t="s">
        <v>11</v>
      </c>
      <c r="AJ18">
        <v>1</v>
      </c>
      <c r="AK18">
        <f t="shared" si="6"/>
        <v>105.26315789473685</v>
      </c>
      <c r="AR18" t="s">
        <v>11</v>
      </c>
      <c r="AS18">
        <v>0</v>
      </c>
      <c r="AT18">
        <f t="shared" si="8"/>
        <v>0</v>
      </c>
      <c r="BA18" t="s">
        <v>11</v>
      </c>
      <c r="BB18">
        <v>0</v>
      </c>
      <c r="BC18">
        <f t="shared" si="9"/>
        <v>0</v>
      </c>
    </row>
    <row r="19" spans="1:55" x14ac:dyDescent="0.5">
      <c r="A19" s="1">
        <v>18</v>
      </c>
      <c r="B19" s="1" t="s">
        <v>6</v>
      </c>
      <c r="C19" s="1" t="s">
        <v>4</v>
      </c>
      <c r="D19" s="1">
        <v>18.29</v>
      </c>
      <c r="E19" s="1">
        <v>0.04</v>
      </c>
      <c r="G19" t="s">
        <v>53</v>
      </c>
      <c r="H19">
        <f>COUNTIF(B10:B106, "4c")</f>
        <v>0</v>
      </c>
      <c r="J19">
        <f t="shared" si="0"/>
        <v>0</v>
      </c>
      <c r="Q19" t="s">
        <v>53</v>
      </c>
      <c r="R19">
        <v>0</v>
      </c>
      <c r="S19">
        <f t="shared" si="2"/>
        <v>0</v>
      </c>
      <c r="Z19" t="s">
        <v>53</v>
      </c>
      <c r="AA19">
        <v>0</v>
      </c>
      <c r="AB19">
        <f t="shared" si="4"/>
        <v>0</v>
      </c>
      <c r="AI19" t="s">
        <v>53</v>
      </c>
      <c r="AJ19">
        <v>0</v>
      </c>
      <c r="AK19">
        <f t="shared" si="6"/>
        <v>0</v>
      </c>
      <c r="AR19" t="s">
        <v>53</v>
      </c>
      <c r="AS19">
        <v>0</v>
      </c>
      <c r="AT19">
        <f t="shared" si="8"/>
        <v>0</v>
      </c>
      <c r="BA19" t="s">
        <v>53</v>
      </c>
      <c r="BB19">
        <v>0</v>
      </c>
      <c r="BC19">
        <f t="shared" si="9"/>
        <v>0</v>
      </c>
    </row>
    <row r="20" spans="1:55" x14ac:dyDescent="0.5">
      <c r="A20" s="1">
        <v>19</v>
      </c>
      <c r="B20" s="1" t="s">
        <v>7</v>
      </c>
      <c r="C20" s="1" t="s">
        <v>8</v>
      </c>
      <c r="D20" s="1">
        <v>17.3</v>
      </c>
      <c r="E20" s="1">
        <v>8.9999999999999993E-3</v>
      </c>
      <c r="G20" t="s">
        <v>7</v>
      </c>
      <c r="H20">
        <f>COUNTIF(B11:B107, "4d")</f>
        <v>1</v>
      </c>
      <c r="J20">
        <f t="shared" si="0"/>
        <v>105.26315789473685</v>
      </c>
      <c r="Q20" t="s">
        <v>7</v>
      </c>
      <c r="R20">
        <v>1</v>
      </c>
      <c r="S20">
        <f t="shared" si="2"/>
        <v>105.26315789473685</v>
      </c>
      <c r="Z20" t="s">
        <v>7</v>
      </c>
      <c r="AA20">
        <v>0</v>
      </c>
      <c r="AB20">
        <f t="shared" si="4"/>
        <v>0</v>
      </c>
      <c r="AI20" t="s">
        <v>7</v>
      </c>
      <c r="AJ20">
        <v>1</v>
      </c>
      <c r="AK20">
        <f t="shared" si="6"/>
        <v>105.26315789473685</v>
      </c>
      <c r="AR20" t="s">
        <v>7</v>
      </c>
      <c r="AS20">
        <v>0</v>
      </c>
      <c r="AT20">
        <f t="shared" si="8"/>
        <v>0</v>
      </c>
      <c r="BA20" t="s">
        <v>7</v>
      </c>
      <c r="BB20">
        <v>0</v>
      </c>
      <c r="BC20">
        <f t="shared" si="9"/>
        <v>0</v>
      </c>
    </row>
    <row r="21" spans="1:55" x14ac:dyDescent="0.5">
      <c r="A21" s="1">
        <v>20</v>
      </c>
      <c r="B21" s="1" t="s">
        <v>9</v>
      </c>
      <c r="C21" s="1" t="s">
        <v>4</v>
      </c>
      <c r="D21" s="1">
        <v>18.170000000000002</v>
      </c>
      <c r="E21" s="1">
        <v>3.1E-2</v>
      </c>
      <c r="G21" t="s">
        <v>54</v>
      </c>
      <c r="H21">
        <f>COUNTIF(B12:B108, "4e")</f>
        <v>0</v>
      </c>
      <c r="J21">
        <f t="shared" si="0"/>
        <v>0</v>
      </c>
      <c r="Q21" t="s">
        <v>54</v>
      </c>
      <c r="R21">
        <v>0</v>
      </c>
      <c r="S21">
        <f t="shared" si="2"/>
        <v>0</v>
      </c>
      <c r="Z21" t="s">
        <v>54</v>
      </c>
      <c r="AA21">
        <v>0</v>
      </c>
      <c r="AB21">
        <f t="shared" si="4"/>
        <v>0</v>
      </c>
      <c r="AI21" t="s">
        <v>54</v>
      </c>
      <c r="AJ21">
        <v>0</v>
      </c>
      <c r="AK21">
        <f t="shared" si="6"/>
        <v>0</v>
      </c>
      <c r="AR21" t="s">
        <v>54</v>
      </c>
      <c r="AS21">
        <v>0</v>
      </c>
      <c r="AT21">
        <f t="shared" si="8"/>
        <v>0</v>
      </c>
      <c r="BA21" t="s">
        <v>54</v>
      </c>
      <c r="BB21">
        <v>0</v>
      </c>
      <c r="BC21">
        <f t="shared" si="9"/>
        <v>0</v>
      </c>
    </row>
    <row r="22" spans="1:55" x14ac:dyDescent="0.5">
      <c r="A22" s="1">
        <v>21</v>
      </c>
      <c r="B22" s="1" t="s">
        <v>9</v>
      </c>
      <c r="C22" s="1" t="s">
        <v>4</v>
      </c>
      <c r="D22" s="1">
        <v>16.690000000000001</v>
      </c>
      <c r="E22" s="1">
        <v>3.4000000000000002E-2</v>
      </c>
      <c r="G22" t="s">
        <v>18</v>
      </c>
      <c r="H22">
        <f>COUNTIF(B13:B109, "5a")</f>
        <v>4</v>
      </c>
      <c r="J22">
        <f t="shared" si="0"/>
        <v>421.0526315789474</v>
      </c>
      <c r="Q22" t="s">
        <v>18</v>
      </c>
      <c r="R22">
        <v>4</v>
      </c>
      <c r="S22">
        <f t="shared" si="2"/>
        <v>421.0526315789474</v>
      </c>
      <c r="Z22" t="s">
        <v>18</v>
      </c>
      <c r="AA22">
        <v>1</v>
      </c>
      <c r="AB22">
        <f t="shared" si="4"/>
        <v>105.26315789473685</v>
      </c>
      <c r="AI22" t="s">
        <v>18</v>
      </c>
      <c r="AJ22">
        <v>3</v>
      </c>
      <c r="AK22">
        <f t="shared" si="6"/>
        <v>315.78947368421052</v>
      </c>
      <c r="AR22" t="s">
        <v>18</v>
      </c>
      <c r="AS22">
        <v>0</v>
      </c>
      <c r="AT22">
        <f t="shared" si="8"/>
        <v>0</v>
      </c>
      <c r="BA22" t="s">
        <v>18</v>
      </c>
      <c r="BB22">
        <v>0</v>
      </c>
      <c r="BC22">
        <f t="shared" si="9"/>
        <v>0</v>
      </c>
    </row>
    <row r="23" spans="1:55" x14ac:dyDescent="0.5">
      <c r="A23" s="1">
        <v>22</v>
      </c>
      <c r="B23" s="1" t="s">
        <v>9</v>
      </c>
      <c r="C23" s="1" t="s">
        <v>4</v>
      </c>
      <c r="D23" s="1">
        <v>18.5</v>
      </c>
      <c r="E23" s="1">
        <v>0.05</v>
      </c>
      <c r="G23" t="s">
        <v>55</v>
      </c>
      <c r="H23">
        <v>2</v>
      </c>
      <c r="J23">
        <f t="shared" si="0"/>
        <v>210.5263157894737</v>
      </c>
      <c r="Q23" t="s">
        <v>55</v>
      </c>
      <c r="R23">
        <v>2</v>
      </c>
      <c r="S23">
        <f t="shared" si="2"/>
        <v>210.5263157894737</v>
      </c>
      <c r="Z23" t="s">
        <v>55</v>
      </c>
      <c r="AA23">
        <v>1</v>
      </c>
      <c r="AB23">
        <f t="shared" si="4"/>
        <v>105.26315789473685</v>
      </c>
      <c r="AI23" t="s">
        <v>55</v>
      </c>
      <c r="AJ23">
        <v>1</v>
      </c>
      <c r="AK23">
        <f t="shared" si="6"/>
        <v>105.26315789473685</v>
      </c>
      <c r="AR23" t="s">
        <v>55</v>
      </c>
      <c r="AS23">
        <v>0</v>
      </c>
      <c r="AT23">
        <f t="shared" si="8"/>
        <v>0</v>
      </c>
      <c r="BA23" t="s">
        <v>55</v>
      </c>
      <c r="BB23">
        <v>0</v>
      </c>
      <c r="BC23">
        <f t="shared" si="9"/>
        <v>0</v>
      </c>
    </row>
    <row r="24" spans="1:55" x14ac:dyDescent="0.5">
      <c r="A24" s="1">
        <v>23</v>
      </c>
      <c r="B24" s="1" t="s">
        <v>9</v>
      </c>
      <c r="C24" s="1" t="s">
        <v>4</v>
      </c>
      <c r="D24" s="1">
        <v>18.489999999999998</v>
      </c>
      <c r="E24" s="1">
        <v>0.05</v>
      </c>
      <c r="G24" t="s">
        <v>20</v>
      </c>
      <c r="H24">
        <f>COUNTIF(B15:B111, "5c")</f>
        <v>6</v>
      </c>
      <c r="J24">
        <f t="shared" si="0"/>
        <v>631.57894736842104</v>
      </c>
      <c r="Q24" t="s">
        <v>20</v>
      </c>
      <c r="R24">
        <v>4</v>
      </c>
      <c r="S24">
        <f t="shared" si="2"/>
        <v>421.0526315789474</v>
      </c>
      <c r="Z24" t="s">
        <v>20</v>
      </c>
      <c r="AA24">
        <v>1</v>
      </c>
      <c r="AB24">
        <f t="shared" si="4"/>
        <v>105.26315789473685</v>
      </c>
      <c r="AI24" t="s">
        <v>20</v>
      </c>
      <c r="AJ24">
        <v>3</v>
      </c>
      <c r="AK24">
        <f t="shared" si="6"/>
        <v>315.78947368421052</v>
      </c>
      <c r="AR24" t="s">
        <v>20</v>
      </c>
      <c r="AS24">
        <v>0</v>
      </c>
      <c r="AT24">
        <f t="shared" si="8"/>
        <v>0</v>
      </c>
      <c r="BA24" t="s">
        <v>20</v>
      </c>
      <c r="BB24">
        <v>0</v>
      </c>
      <c r="BC24">
        <f t="shared" si="9"/>
        <v>0</v>
      </c>
    </row>
    <row r="25" spans="1:55" x14ac:dyDescent="0.5">
      <c r="A25" s="1">
        <v>24</v>
      </c>
      <c r="B25" s="1" t="s">
        <v>9</v>
      </c>
      <c r="C25" s="1" t="s">
        <v>4</v>
      </c>
      <c r="D25" s="1">
        <v>17</v>
      </c>
      <c r="E25" s="1">
        <v>3.9E-2</v>
      </c>
      <c r="G25" t="s">
        <v>56</v>
      </c>
      <c r="H25">
        <f>COUNTIF(B16:B112, "5d")</f>
        <v>0</v>
      </c>
      <c r="J25">
        <f t="shared" si="0"/>
        <v>0</v>
      </c>
      <c r="Q25" t="s">
        <v>56</v>
      </c>
      <c r="R25">
        <v>0</v>
      </c>
      <c r="S25">
        <f t="shared" si="2"/>
        <v>0</v>
      </c>
      <c r="Z25" t="s">
        <v>56</v>
      </c>
      <c r="AA25">
        <v>0</v>
      </c>
      <c r="AB25">
        <f t="shared" si="4"/>
        <v>0</v>
      </c>
      <c r="AI25" t="s">
        <v>56</v>
      </c>
      <c r="AJ25">
        <v>0</v>
      </c>
      <c r="AK25">
        <f t="shared" si="6"/>
        <v>0</v>
      </c>
      <c r="AR25" t="s">
        <v>56</v>
      </c>
      <c r="AS25">
        <v>0</v>
      </c>
      <c r="AT25">
        <f t="shared" si="8"/>
        <v>0</v>
      </c>
      <c r="BA25" t="s">
        <v>56</v>
      </c>
      <c r="BB25">
        <v>0</v>
      </c>
      <c r="BC25">
        <f t="shared" si="9"/>
        <v>0</v>
      </c>
    </row>
    <row r="26" spans="1:55" x14ac:dyDescent="0.5">
      <c r="A26" s="1">
        <v>25</v>
      </c>
      <c r="B26" s="1" t="s">
        <v>9</v>
      </c>
      <c r="C26" s="1" t="s">
        <v>4</v>
      </c>
      <c r="D26" s="1">
        <v>17.46</v>
      </c>
      <c r="E26" s="1">
        <v>4.1000000000000002E-2</v>
      </c>
      <c r="G26" t="s">
        <v>57</v>
      </c>
      <c r="H26">
        <f>COUNTIF(B17:B113, "5e")</f>
        <v>0</v>
      </c>
      <c r="J26">
        <f t="shared" si="0"/>
        <v>0</v>
      </c>
      <c r="Q26" t="s">
        <v>57</v>
      </c>
      <c r="R26">
        <v>0</v>
      </c>
      <c r="S26">
        <f>R26/$J$1</f>
        <v>0</v>
      </c>
      <c r="Z26" t="s">
        <v>57</v>
      </c>
      <c r="AA26">
        <v>0</v>
      </c>
      <c r="AB26">
        <f t="shared" si="4"/>
        <v>0</v>
      </c>
      <c r="AI26" t="s">
        <v>57</v>
      </c>
      <c r="AJ26">
        <v>0</v>
      </c>
      <c r="AK26">
        <f t="shared" si="6"/>
        <v>0</v>
      </c>
      <c r="AR26" t="s">
        <v>57</v>
      </c>
      <c r="AS26">
        <v>0</v>
      </c>
      <c r="AT26">
        <f t="shared" si="8"/>
        <v>0</v>
      </c>
      <c r="BA26" t="s">
        <v>57</v>
      </c>
      <c r="BB26">
        <v>0</v>
      </c>
      <c r="BC26">
        <f t="shared" si="9"/>
        <v>0</v>
      </c>
    </row>
    <row r="27" spans="1:55" x14ac:dyDescent="0.5">
      <c r="A27" s="1">
        <v>26</v>
      </c>
      <c r="B27" s="1" t="s">
        <v>9</v>
      </c>
      <c r="C27" s="1" t="s">
        <v>4</v>
      </c>
      <c r="D27" s="1">
        <v>15.62</v>
      </c>
      <c r="E27" s="1">
        <v>2.8000000000000001E-2</v>
      </c>
      <c r="G27" t="s">
        <v>31</v>
      </c>
      <c r="H27">
        <f>COUNTIF(B18:B114, "6a")</f>
        <v>5</v>
      </c>
      <c r="J27">
        <f t="shared" si="0"/>
        <v>526.31578947368428</v>
      </c>
      <c r="Q27" t="s">
        <v>31</v>
      </c>
      <c r="R27">
        <v>5</v>
      </c>
      <c r="S27">
        <f t="shared" si="2"/>
        <v>526.31578947368428</v>
      </c>
      <c r="Z27" t="s">
        <v>31</v>
      </c>
      <c r="AA27">
        <v>0</v>
      </c>
      <c r="AB27">
        <f t="shared" si="4"/>
        <v>0</v>
      </c>
      <c r="AI27" t="s">
        <v>31</v>
      </c>
      <c r="AJ27">
        <v>5</v>
      </c>
      <c r="AK27">
        <f t="shared" si="6"/>
        <v>526.31578947368428</v>
      </c>
      <c r="AR27" t="s">
        <v>31</v>
      </c>
      <c r="AS27">
        <v>0</v>
      </c>
      <c r="AT27">
        <f t="shared" si="8"/>
        <v>0</v>
      </c>
      <c r="BA27" t="s">
        <v>31</v>
      </c>
      <c r="BB27">
        <v>0</v>
      </c>
      <c r="BC27">
        <f t="shared" si="9"/>
        <v>0</v>
      </c>
    </row>
    <row r="28" spans="1:55" x14ac:dyDescent="0.5">
      <c r="A28" s="1">
        <v>27</v>
      </c>
      <c r="B28" s="1" t="s">
        <v>9</v>
      </c>
      <c r="C28" s="1" t="s">
        <v>4</v>
      </c>
      <c r="D28" s="1">
        <v>15.36</v>
      </c>
      <c r="E28" s="1">
        <v>2.5000000000000001E-2</v>
      </c>
      <c r="G28" t="s">
        <v>32</v>
      </c>
      <c r="H28">
        <f>COUNTIF(B19:B115, "6b")</f>
        <v>3</v>
      </c>
      <c r="J28">
        <f t="shared" si="0"/>
        <v>315.78947368421052</v>
      </c>
      <c r="Q28" t="s">
        <v>32</v>
      </c>
      <c r="R28">
        <v>2</v>
      </c>
      <c r="S28">
        <f t="shared" si="2"/>
        <v>210.5263157894737</v>
      </c>
      <c r="Z28" t="s">
        <v>32</v>
      </c>
      <c r="AA28">
        <v>0</v>
      </c>
      <c r="AB28">
        <f t="shared" si="4"/>
        <v>0</v>
      </c>
      <c r="AI28" t="s">
        <v>32</v>
      </c>
      <c r="AJ28">
        <v>2</v>
      </c>
      <c r="AK28">
        <f t="shared" si="6"/>
        <v>210.5263157894737</v>
      </c>
      <c r="AR28" t="s">
        <v>32</v>
      </c>
      <c r="AS28">
        <v>0</v>
      </c>
      <c r="AT28">
        <f t="shared" si="8"/>
        <v>0</v>
      </c>
      <c r="BA28" t="s">
        <v>32</v>
      </c>
      <c r="BB28">
        <v>1</v>
      </c>
      <c r="BC28">
        <f t="shared" si="9"/>
        <v>105.26315789473685</v>
      </c>
    </row>
    <row r="29" spans="1:55" x14ac:dyDescent="0.5">
      <c r="A29" s="1">
        <v>28</v>
      </c>
      <c r="B29" s="1" t="s">
        <v>9</v>
      </c>
      <c r="C29" s="1" t="s">
        <v>4</v>
      </c>
      <c r="D29" s="1">
        <v>13.88</v>
      </c>
      <c r="E29" s="1">
        <v>1.7999999999999999E-2</v>
      </c>
      <c r="G29" t="s">
        <v>33</v>
      </c>
      <c r="H29">
        <f>COUNTIF(B20:B116, "6c")</f>
        <v>1</v>
      </c>
      <c r="J29">
        <f>H29/$J$1</f>
        <v>105.26315789473685</v>
      </c>
      <c r="Q29" t="s">
        <v>33</v>
      </c>
      <c r="R29">
        <v>1</v>
      </c>
      <c r="S29">
        <f t="shared" si="2"/>
        <v>105.26315789473685</v>
      </c>
      <c r="Z29" t="s">
        <v>33</v>
      </c>
      <c r="AA29">
        <v>0</v>
      </c>
      <c r="AB29">
        <f t="shared" si="4"/>
        <v>0</v>
      </c>
      <c r="AI29" t="s">
        <v>33</v>
      </c>
      <c r="AJ29">
        <v>1</v>
      </c>
      <c r="AK29">
        <f t="shared" si="6"/>
        <v>105.26315789473685</v>
      </c>
      <c r="AR29" t="s">
        <v>33</v>
      </c>
      <c r="AS29">
        <v>0</v>
      </c>
      <c r="AT29">
        <f>AS29/$J$1</f>
        <v>0</v>
      </c>
      <c r="BA29" t="s">
        <v>33</v>
      </c>
      <c r="BB29">
        <v>0</v>
      </c>
      <c r="BC29">
        <f t="shared" si="9"/>
        <v>0</v>
      </c>
    </row>
    <row r="30" spans="1:55" x14ac:dyDescent="0.5">
      <c r="A30" s="1">
        <v>29</v>
      </c>
      <c r="B30" s="1" t="s">
        <v>9</v>
      </c>
      <c r="C30" s="1" t="s">
        <v>4</v>
      </c>
      <c r="D30" s="1">
        <v>14.68</v>
      </c>
      <c r="E30" s="1">
        <v>2.1999999999999999E-2</v>
      </c>
      <c r="G30" t="s">
        <v>58</v>
      </c>
      <c r="H30">
        <f>COUNTIF(B21:B117, "6d")</f>
        <v>0</v>
      </c>
      <c r="J30">
        <f t="shared" si="0"/>
        <v>0</v>
      </c>
      <c r="Q30" t="s">
        <v>58</v>
      </c>
      <c r="R30">
        <v>0</v>
      </c>
      <c r="S30">
        <f t="shared" si="2"/>
        <v>0</v>
      </c>
      <c r="Z30" t="s">
        <v>58</v>
      </c>
      <c r="AA30">
        <v>0</v>
      </c>
      <c r="AB30">
        <f t="shared" si="4"/>
        <v>0</v>
      </c>
      <c r="AI30" t="s">
        <v>58</v>
      </c>
      <c r="AJ30">
        <v>0</v>
      </c>
      <c r="AK30">
        <f>AJ30/$J$1</f>
        <v>0</v>
      </c>
      <c r="AR30" t="s">
        <v>58</v>
      </c>
      <c r="AS30">
        <v>0</v>
      </c>
      <c r="AT30">
        <f t="shared" si="8"/>
        <v>0</v>
      </c>
      <c r="BA30" t="s">
        <v>58</v>
      </c>
      <c r="BB30">
        <v>0</v>
      </c>
      <c r="BC30">
        <f t="shared" si="9"/>
        <v>0</v>
      </c>
    </row>
    <row r="31" spans="1:55" x14ac:dyDescent="0.5">
      <c r="A31" s="1">
        <v>30</v>
      </c>
      <c r="B31" s="1" t="s">
        <v>9</v>
      </c>
      <c r="C31" s="1" t="s">
        <v>4</v>
      </c>
      <c r="D31" s="1">
        <v>13.9</v>
      </c>
      <c r="E31" s="1">
        <v>2.3E-2</v>
      </c>
      <c r="G31" t="s">
        <v>59</v>
      </c>
      <c r="H31">
        <f>COUNTIF(B22:B118, "6e")</f>
        <v>3</v>
      </c>
      <c r="J31">
        <f t="shared" si="0"/>
        <v>315.78947368421052</v>
      </c>
      <c r="Q31" t="s">
        <v>59</v>
      </c>
      <c r="R31">
        <v>0</v>
      </c>
      <c r="S31">
        <f t="shared" si="2"/>
        <v>0</v>
      </c>
      <c r="Z31" t="s">
        <v>59</v>
      </c>
      <c r="AA31">
        <v>0</v>
      </c>
      <c r="AB31">
        <f t="shared" si="4"/>
        <v>0</v>
      </c>
      <c r="AI31" t="s">
        <v>59</v>
      </c>
      <c r="AJ31">
        <v>0</v>
      </c>
      <c r="AK31">
        <f t="shared" si="6"/>
        <v>0</v>
      </c>
      <c r="AR31" t="s">
        <v>59</v>
      </c>
      <c r="AS31">
        <v>1</v>
      </c>
      <c r="AT31">
        <f t="shared" si="8"/>
        <v>105.26315789473685</v>
      </c>
      <c r="BA31" t="s">
        <v>59</v>
      </c>
      <c r="BB31">
        <v>2</v>
      </c>
      <c r="BC31">
        <f t="shared" si="9"/>
        <v>210.5263157894737</v>
      </c>
    </row>
    <row r="32" spans="1:55" x14ac:dyDescent="0.5">
      <c r="A32" s="1">
        <v>31</v>
      </c>
      <c r="B32" s="1" t="s">
        <v>9</v>
      </c>
      <c r="C32" s="1" t="s">
        <v>4</v>
      </c>
      <c r="D32" s="1">
        <v>13.55</v>
      </c>
      <c r="E32" s="1">
        <v>1.4E-2</v>
      </c>
      <c r="G32" t="s">
        <v>25</v>
      </c>
      <c r="H32">
        <f>COUNTIF(B23:B119, "7a")</f>
        <v>2</v>
      </c>
      <c r="J32">
        <f t="shared" si="0"/>
        <v>210.5263157894737</v>
      </c>
      <c r="Q32" t="s">
        <v>25</v>
      </c>
      <c r="R32">
        <v>2</v>
      </c>
      <c r="S32">
        <f t="shared" si="2"/>
        <v>210.5263157894737</v>
      </c>
      <c r="Z32" t="s">
        <v>25</v>
      </c>
      <c r="AA32">
        <v>1</v>
      </c>
      <c r="AB32">
        <f t="shared" si="4"/>
        <v>105.26315789473685</v>
      </c>
      <c r="AI32" t="s">
        <v>25</v>
      </c>
      <c r="AJ32">
        <v>1</v>
      </c>
      <c r="AK32">
        <f t="shared" si="6"/>
        <v>105.26315789473685</v>
      </c>
      <c r="AR32" t="s">
        <v>25</v>
      </c>
      <c r="AS32">
        <v>0</v>
      </c>
      <c r="AT32">
        <f t="shared" si="8"/>
        <v>0</v>
      </c>
      <c r="BA32" t="s">
        <v>25</v>
      </c>
      <c r="BB32">
        <v>0</v>
      </c>
      <c r="BC32">
        <f t="shared" si="9"/>
        <v>0</v>
      </c>
    </row>
    <row r="33" spans="1:55" x14ac:dyDescent="0.5">
      <c r="A33" s="1">
        <v>32</v>
      </c>
      <c r="B33" s="1" t="s">
        <v>9</v>
      </c>
      <c r="C33" s="1" t="s">
        <v>4</v>
      </c>
      <c r="D33" s="1">
        <v>12.85</v>
      </c>
      <c r="E33" s="1">
        <v>1.6E-2</v>
      </c>
      <c r="G33" t="s">
        <v>26</v>
      </c>
      <c r="H33">
        <f>COUNTIF(B24:B120, "7b")</f>
        <v>1</v>
      </c>
      <c r="J33">
        <f t="shared" si="0"/>
        <v>105.26315789473685</v>
      </c>
      <c r="Q33" t="s">
        <v>26</v>
      </c>
      <c r="R33">
        <v>1</v>
      </c>
      <c r="S33">
        <f t="shared" si="2"/>
        <v>105.26315789473685</v>
      </c>
      <c r="Z33" t="s">
        <v>26</v>
      </c>
      <c r="AA33">
        <v>0</v>
      </c>
      <c r="AB33">
        <f t="shared" si="4"/>
        <v>0</v>
      </c>
      <c r="AI33" t="s">
        <v>26</v>
      </c>
      <c r="AJ33">
        <v>1</v>
      </c>
      <c r="AK33">
        <f t="shared" si="6"/>
        <v>105.26315789473685</v>
      </c>
      <c r="AR33" t="s">
        <v>26</v>
      </c>
      <c r="AS33">
        <v>0</v>
      </c>
      <c r="AT33">
        <f t="shared" si="8"/>
        <v>0</v>
      </c>
      <c r="BA33" t="s">
        <v>26</v>
      </c>
      <c r="BB33">
        <v>0</v>
      </c>
      <c r="BC33">
        <f t="shared" si="9"/>
        <v>0</v>
      </c>
    </row>
    <row r="34" spans="1:55" x14ac:dyDescent="0.5">
      <c r="A34" s="1">
        <v>33</v>
      </c>
      <c r="B34" s="1" t="s">
        <v>9</v>
      </c>
      <c r="C34" s="3" t="s">
        <v>4</v>
      </c>
      <c r="D34" s="3">
        <v>10.32</v>
      </c>
      <c r="E34" s="3">
        <v>6.0000000000000001E-3</v>
      </c>
      <c r="G34" t="s">
        <v>27</v>
      </c>
      <c r="H34">
        <f>COUNTIF(B25:B121, "7c")</f>
        <v>1</v>
      </c>
      <c r="J34">
        <f t="shared" si="0"/>
        <v>105.26315789473685</v>
      </c>
      <c r="Q34" t="s">
        <v>27</v>
      </c>
      <c r="R34">
        <v>1</v>
      </c>
      <c r="S34">
        <f t="shared" si="2"/>
        <v>105.26315789473685</v>
      </c>
      <c r="Z34" t="s">
        <v>27</v>
      </c>
      <c r="AA34">
        <v>0</v>
      </c>
      <c r="AB34">
        <f t="shared" si="4"/>
        <v>0</v>
      </c>
      <c r="AI34" t="s">
        <v>27</v>
      </c>
      <c r="AJ34">
        <v>1</v>
      </c>
      <c r="AK34">
        <f t="shared" si="6"/>
        <v>105.26315789473685</v>
      </c>
      <c r="AR34" t="s">
        <v>27</v>
      </c>
      <c r="AS34">
        <v>0</v>
      </c>
      <c r="AT34">
        <f t="shared" si="8"/>
        <v>0</v>
      </c>
      <c r="BA34" t="s">
        <v>27</v>
      </c>
      <c r="BB34">
        <v>0</v>
      </c>
      <c r="BC34">
        <f t="shared" si="9"/>
        <v>0</v>
      </c>
    </row>
    <row r="35" spans="1:55" x14ac:dyDescent="0.5">
      <c r="A35" s="1">
        <v>34</v>
      </c>
      <c r="B35" s="1" t="s">
        <v>10</v>
      </c>
      <c r="C35" s="3" t="s">
        <v>4</v>
      </c>
      <c r="D35" s="3">
        <v>12.09</v>
      </c>
      <c r="E35" s="3">
        <v>1.2E-2</v>
      </c>
      <c r="G35" t="s">
        <v>60</v>
      </c>
      <c r="H35">
        <f>COUNTIF(B26:B122, "7d")</f>
        <v>0</v>
      </c>
      <c r="J35">
        <f t="shared" si="0"/>
        <v>0</v>
      </c>
      <c r="Q35" t="s">
        <v>60</v>
      </c>
      <c r="R35">
        <v>0</v>
      </c>
      <c r="S35">
        <f t="shared" si="2"/>
        <v>0</v>
      </c>
      <c r="Z35" t="s">
        <v>60</v>
      </c>
      <c r="AA35">
        <v>0</v>
      </c>
      <c r="AB35">
        <f t="shared" si="4"/>
        <v>0</v>
      </c>
      <c r="AI35" t="s">
        <v>60</v>
      </c>
      <c r="AJ35">
        <v>0</v>
      </c>
      <c r="AK35">
        <f t="shared" si="6"/>
        <v>0</v>
      </c>
      <c r="AR35" t="s">
        <v>60</v>
      </c>
      <c r="AS35">
        <v>0</v>
      </c>
      <c r="AT35">
        <f t="shared" si="8"/>
        <v>0</v>
      </c>
      <c r="BA35" t="s">
        <v>60</v>
      </c>
      <c r="BB35">
        <v>0</v>
      </c>
      <c r="BC35">
        <f>BB35/$J$1</f>
        <v>0</v>
      </c>
    </row>
    <row r="36" spans="1:55" x14ac:dyDescent="0.5">
      <c r="A36" s="1">
        <v>35</v>
      </c>
      <c r="B36" s="1" t="s">
        <v>11</v>
      </c>
      <c r="C36" s="3" t="s">
        <v>4</v>
      </c>
      <c r="D36" s="3">
        <v>14.94</v>
      </c>
      <c r="E36" s="3">
        <v>2.4E-2</v>
      </c>
      <c r="G36" t="s">
        <v>28</v>
      </c>
      <c r="H36">
        <f>COUNTIF(B27:B123, "7e")</f>
        <v>2</v>
      </c>
      <c r="J36">
        <f t="shared" si="0"/>
        <v>210.5263157894737</v>
      </c>
      <c r="Q36" t="s">
        <v>28</v>
      </c>
      <c r="R36">
        <v>2</v>
      </c>
      <c r="S36">
        <f t="shared" si="2"/>
        <v>210.5263157894737</v>
      </c>
      <c r="Z36" t="s">
        <v>28</v>
      </c>
      <c r="AA36">
        <v>2</v>
      </c>
      <c r="AB36">
        <f t="shared" si="4"/>
        <v>210.5263157894737</v>
      </c>
      <c r="AI36" t="s">
        <v>28</v>
      </c>
      <c r="AJ36">
        <v>0</v>
      </c>
      <c r="AK36">
        <f t="shared" si="6"/>
        <v>0</v>
      </c>
      <c r="AR36" t="s">
        <v>28</v>
      </c>
      <c r="AS36">
        <v>0</v>
      </c>
      <c r="AT36">
        <f t="shared" si="8"/>
        <v>0</v>
      </c>
      <c r="BA36" t="s">
        <v>28</v>
      </c>
      <c r="BB36">
        <v>0</v>
      </c>
      <c r="BC36">
        <f t="shared" si="9"/>
        <v>0</v>
      </c>
    </row>
    <row r="37" spans="1:55" x14ac:dyDescent="0.5">
      <c r="A37" s="1">
        <v>36</v>
      </c>
      <c r="B37" s="1" t="s">
        <v>11</v>
      </c>
      <c r="C37" s="1" t="s">
        <v>8</v>
      </c>
      <c r="D37" s="1">
        <v>10.210000000000001</v>
      </c>
      <c r="E37" s="1">
        <v>3.0000000000000001E-3</v>
      </c>
      <c r="G37" t="s">
        <v>61</v>
      </c>
      <c r="H37">
        <f>COUNTIF(B28:B124, "8a")</f>
        <v>0</v>
      </c>
      <c r="J37">
        <f t="shared" si="0"/>
        <v>0</v>
      </c>
      <c r="Q37" t="s">
        <v>61</v>
      </c>
      <c r="R37">
        <v>0</v>
      </c>
      <c r="S37">
        <f t="shared" si="2"/>
        <v>0</v>
      </c>
      <c r="Z37" t="s">
        <v>61</v>
      </c>
      <c r="AA37">
        <v>0</v>
      </c>
      <c r="AB37">
        <f t="shared" si="4"/>
        <v>0</v>
      </c>
      <c r="AI37" t="s">
        <v>61</v>
      </c>
      <c r="AJ37">
        <v>0</v>
      </c>
      <c r="AK37">
        <f t="shared" si="6"/>
        <v>0</v>
      </c>
      <c r="AR37" t="s">
        <v>61</v>
      </c>
      <c r="AS37">
        <v>0</v>
      </c>
      <c r="AT37">
        <f t="shared" si="8"/>
        <v>0</v>
      </c>
      <c r="BA37" t="s">
        <v>61</v>
      </c>
      <c r="BB37">
        <v>0</v>
      </c>
      <c r="BC37">
        <f t="shared" si="9"/>
        <v>0</v>
      </c>
    </row>
    <row r="38" spans="1:55" x14ac:dyDescent="0.5">
      <c r="A38" s="1">
        <v>37</v>
      </c>
      <c r="B38" s="1" t="s">
        <v>12</v>
      </c>
      <c r="C38" s="1" t="s">
        <v>4</v>
      </c>
      <c r="D38" s="1">
        <v>16.78</v>
      </c>
      <c r="E38" s="1">
        <v>3.7999999999999999E-2</v>
      </c>
      <c r="G38" t="s">
        <v>29</v>
      </c>
      <c r="H38">
        <f>COUNTIF(B29:B125, "8b")</f>
        <v>2</v>
      </c>
      <c r="J38">
        <f t="shared" si="0"/>
        <v>210.5263157894737</v>
      </c>
      <c r="Q38" t="s">
        <v>29</v>
      </c>
      <c r="R38">
        <v>1</v>
      </c>
      <c r="S38">
        <f t="shared" si="2"/>
        <v>105.26315789473685</v>
      </c>
      <c r="Z38" t="s">
        <v>29</v>
      </c>
      <c r="AA38">
        <v>0</v>
      </c>
      <c r="AB38">
        <f t="shared" si="4"/>
        <v>0</v>
      </c>
      <c r="AI38" t="s">
        <v>29</v>
      </c>
      <c r="AJ38">
        <v>1</v>
      </c>
      <c r="AK38">
        <f t="shared" si="6"/>
        <v>105.26315789473685</v>
      </c>
      <c r="AR38" t="s">
        <v>29</v>
      </c>
      <c r="AS38">
        <v>0</v>
      </c>
      <c r="AT38">
        <f t="shared" si="8"/>
        <v>0</v>
      </c>
      <c r="BA38" t="s">
        <v>29</v>
      </c>
      <c r="BB38">
        <v>1</v>
      </c>
      <c r="BC38">
        <f t="shared" si="9"/>
        <v>105.26315789473685</v>
      </c>
    </row>
    <row r="39" spans="1:55" x14ac:dyDescent="0.5">
      <c r="A39" s="1">
        <v>38</v>
      </c>
      <c r="B39" s="1" t="s">
        <v>13</v>
      </c>
      <c r="C39" s="1" t="s">
        <v>4</v>
      </c>
      <c r="D39" s="1">
        <v>13.27</v>
      </c>
      <c r="E39" s="1">
        <v>1.2999999999999999E-2</v>
      </c>
      <c r="G39" t="s">
        <v>30</v>
      </c>
      <c r="H39">
        <f>COUNTIF(B30:B126, "8c")</f>
        <v>2</v>
      </c>
      <c r="J39">
        <f t="shared" si="0"/>
        <v>210.5263157894737</v>
      </c>
      <c r="Q39" t="s">
        <v>30</v>
      </c>
      <c r="R39">
        <v>2</v>
      </c>
      <c r="S39">
        <f t="shared" si="2"/>
        <v>210.5263157894737</v>
      </c>
      <c r="Z39" t="s">
        <v>30</v>
      </c>
      <c r="AA39">
        <v>0</v>
      </c>
      <c r="AB39">
        <f t="shared" si="4"/>
        <v>0</v>
      </c>
      <c r="AI39" t="s">
        <v>30</v>
      </c>
      <c r="AJ39">
        <v>0</v>
      </c>
      <c r="AK39">
        <f t="shared" si="6"/>
        <v>0</v>
      </c>
      <c r="AR39" t="s">
        <v>30</v>
      </c>
      <c r="AS39">
        <v>0</v>
      </c>
      <c r="AT39">
        <f t="shared" si="8"/>
        <v>0</v>
      </c>
      <c r="BA39" t="s">
        <v>30</v>
      </c>
      <c r="BB39">
        <v>0</v>
      </c>
      <c r="BC39">
        <f t="shared" si="9"/>
        <v>0</v>
      </c>
    </row>
    <row r="40" spans="1:55" x14ac:dyDescent="0.5">
      <c r="A40" s="1">
        <v>39</v>
      </c>
      <c r="B40" s="1" t="s">
        <v>14</v>
      </c>
      <c r="C40" s="1" t="s">
        <v>4</v>
      </c>
      <c r="D40" s="1">
        <v>10.26</v>
      </c>
      <c r="E40" s="1">
        <v>8.0000000000000002E-3</v>
      </c>
      <c r="G40" t="s">
        <v>62</v>
      </c>
      <c r="H40">
        <f>COUNTIF(B31:B127, "8d")</f>
        <v>1</v>
      </c>
      <c r="J40">
        <f t="shared" si="0"/>
        <v>105.26315789473685</v>
      </c>
      <c r="Q40" t="s">
        <v>62</v>
      </c>
      <c r="R40">
        <v>1</v>
      </c>
      <c r="S40">
        <f t="shared" si="2"/>
        <v>105.26315789473685</v>
      </c>
      <c r="Z40" t="s">
        <v>62</v>
      </c>
      <c r="AA40">
        <v>1</v>
      </c>
      <c r="AB40">
        <f t="shared" si="4"/>
        <v>105.26315789473685</v>
      </c>
      <c r="AI40" t="s">
        <v>62</v>
      </c>
      <c r="AJ40">
        <v>0</v>
      </c>
      <c r="AK40">
        <f t="shared" si="6"/>
        <v>0</v>
      </c>
      <c r="AR40" t="s">
        <v>62</v>
      </c>
      <c r="AS40">
        <v>0</v>
      </c>
      <c r="AT40">
        <f t="shared" si="8"/>
        <v>0</v>
      </c>
      <c r="BA40" t="s">
        <v>62</v>
      </c>
      <c r="BB40">
        <v>0</v>
      </c>
      <c r="BC40">
        <f t="shared" si="9"/>
        <v>0</v>
      </c>
    </row>
    <row r="41" spans="1:55" x14ac:dyDescent="0.5">
      <c r="A41" s="1">
        <v>40</v>
      </c>
      <c r="B41" s="1" t="s">
        <v>14</v>
      </c>
      <c r="C41" s="1" t="s">
        <v>4</v>
      </c>
      <c r="D41" s="1">
        <v>10.67</v>
      </c>
      <c r="E41" s="1">
        <v>5.0000000000000001E-3</v>
      </c>
      <c r="G41" t="s">
        <v>63</v>
      </c>
      <c r="H41">
        <f>COUNTIF(B32:B128, "8e")</f>
        <v>0</v>
      </c>
      <c r="J41">
        <f t="shared" si="0"/>
        <v>0</v>
      </c>
      <c r="Q41" t="s">
        <v>63</v>
      </c>
      <c r="R41">
        <v>0</v>
      </c>
      <c r="S41">
        <f t="shared" si="2"/>
        <v>0</v>
      </c>
      <c r="Z41" t="s">
        <v>63</v>
      </c>
      <c r="AA41">
        <v>0</v>
      </c>
      <c r="AB41">
        <f t="shared" si="4"/>
        <v>0</v>
      </c>
      <c r="AI41" t="s">
        <v>63</v>
      </c>
      <c r="AJ41">
        <v>2</v>
      </c>
      <c r="AK41">
        <f t="shared" si="6"/>
        <v>210.5263157894737</v>
      </c>
      <c r="AR41" t="s">
        <v>63</v>
      </c>
      <c r="AS41">
        <v>0</v>
      </c>
      <c r="AT41">
        <f t="shared" si="8"/>
        <v>0</v>
      </c>
      <c r="BA41" t="s">
        <v>63</v>
      </c>
      <c r="BB41">
        <v>0</v>
      </c>
      <c r="BC41">
        <f t="shared" si="9"/>
        <v>0</v>
      </c>
    </row>
    <row r="42" spans="1:55" x14ac:dyDescent="0.5">
      <c r="A42" s="1">
        <v>41</v>
      </c>
      <c r="B42" s="1" t="s">
        <v>14</v>
      </c>
      <c r="C42" s="1" t="s">
        <v>4</v>
      </c>
      <c r="D42" s="1">
        <v>7.05</v>
      </c>
      <c r="E42" s="1">
        <v>1E-3</v>
      </c>
      <c r="G42" t="s">
        <v>64</v>
      </c>
      <c r="H42">
        <f>COUNTIF(B33:B129, "9a")</f>
        <v>0</v>
      </c>
      <c r="J42">
        <f t="shared" si="0"/>
        <v>0</v>
      </c>
      <c r="Q42" t="s">
        <v>64</v>
      </c>
      <c r="R42">
        <v>0</v>
      </c>
      <c r="S42">
        <f t="shared" si="2"/>
        <v>0</v>
      </c>
      <c r="Z42" t="s">
        <v>64</v>
      </c>
      <c r="AA42">
        <v>0</v>
      </c>
      <c r="AB42">
        <f t="shared" si="4"/>
        <v>0</v>
      </c>
      <c r="AI42" t="s">
        <v>64</v>
      </c>
      <c r="AJ42">
        <v>0</v>
      </c>
      <c r="AK42">
        <f t="shared" si="6"/>
        <v>0</v>
      </c>
      <c r="AR42" t="s">
        <v>64</v>
      </c>
      <c r="AS42">
        <v>0</v>
      </c>
      <c r="AT42">
        <f t="shared" si="8"/>
        <v>0</v>
      </c>
      <c r="BA42" t="s">
        <v>64</v>
      </c>
      <c r="BB42">
        <v>0</v>
      </c>
      <c r="BC42">
        <f t="shared" si="9"/>
        <v>0</v>
      </c>
    </row>
    <row r="43" spans="1:55" x14ac:dyDescent="0.5">
      <c r="A43" s="1">
        <v>42</v>
      </c>
      <c r="B43" s="1" t="s">
        <v>14</v>
      </c>
      <c r="C43" s="1" t="s">
        <v>8</v>
      </c>
      <c r="D43" s="1">
        <v>13.45</v>
      </c>
      <c r="E43" s="1">
        <v>1.0999999999999999E-2</v>
      </c>
      <c r="G43" t="s">
        <v>65</v>
      </c>
      <c r="H43">
        <f>COUNTIF(B34:B130, "9b")</f>
        <v>0</v>
      </c>
      <c r="J43">
        <f t="shared" si="0"/>
        <v>0</v>
      </c>
      <c r="Q43" t="s">
        <v>65</v>
      </c>
      <c r="R43">
        <v>0</v>
      </c>
      <c r="S43">
        <f t="shared" si="2"/>
        <v>0</v>
      </c>
      <c r="Z43" t="s">
        <v>65</v>
      </c>
      <c r="AA43">
        <v>0</v>
      </c>
      <c r="AB43">
        <f t="shared" si="4"/>
        <v>0</v>
      </c>
      <c r="AI43" t="s">
        <v>65</v>
      </c>
      <c r="AJ43">
        <v>0</v>
      </c>
      <c r="AK43">
        <f t="shared" si="6"/>
        <v>0</v>
      </c>
      <c r="AR43" t="s">
        <v>65</v>
      </c>
      <c r="AS43">
        <v>0</v>
      </c>
      <c r="AT43">
        <f t="shared" si="8"/>
        <v>0</v>
      </c>
      <c r="BA43" t="s">
        <v>65</v>
      </c>
      <c r="BB43">
        <v>0</v>
      </c>
      <c r="BC43">
        <f t="shared" si="9"/>
        <v>0</v>
      </c>
    </row>
    <row r="44" spans="1:55" x14ac:dyDescent="0.5">
      <c r="A44" s="1">
        <v>43</v>
      </c>
      <c r="B44" s="1" t="s">
        <v>15</v>
      </c>
      <c r="C44" s="1" t="s">
        <v>8</v>
      </c>
      <c r="D44" s="1">
        <v>11.84</v>
      </c>
      <c r="E44" s="1">
        <v>5.0000000000000001E-3</v>
      </c>
      <c r="G44" t="s">
        <v>66</v>
      </c>
      <c r="H44">
        <v>2</v>
      </c>
      <c r="J44">
        <f t="shared" si="0"/>
        <v>210.5263157894737</v>
      </c>
      <c r="Q44" t="s">
        <v>66</v>
      </c>
      <c r="R44">
        <v>0</v>
      </c>
      <c r="S44">
        <f t="shared" si="2"/>
        <v>0</v>
      </c>
      <c r="Z44" t="s">
        <v>66</v>
      </c>
      <c r="AA44">
        <v>0</v>
      </c>
      <c r="AB44">
        <f t="shared" si="4"/>
        <v>0</v>
      </c>
      <c r="AI44" t="s">
        <v>66</v>
      </c>
      <c r="AJ44">
        <v>0</v>
      </c>
      <c r="AK44">
        <f t="shared" si="6"/>
        <v>0</v>
      </c>
      <c r="AR44" t="s">
        <v>66</v>
      </c>
      <c r="AS44">
        <v>0</v>
      </c>
      <c r="AT44">
        <f t="shared" si="8"/>
        <v>0</v>
      </c>
      <c r="BA44" t="s">
        <v>66</v>
      </c>
      <c r="BB44">
        <v>2</v>
      </c>
      <c r="BC44">
        <f t="shared" si="9"/>
        <v>210.5263157894737</v>
      </c>
    </row>
    <row r="45" spans="1:55" x14ac:dyDescent="0.5">
      <c r="A45" s="1">
        <v>44</v>
      </c>
      <c r="B45" s="1" t="s">
        <v>16</v>
      </c>
      <c r="C45" s="1" t="s">
        <v>8</v>
      </c>
      <c r="D45" s="1">
        <v>9.8000000000000007</v>
      </c>
      <c r="E45" s="1">
        <v>8.0000000000000002E-3</v>
      </c>
      <c r="G45" t="s">
        <v>67</v>
      </c>
      <c r="H45">
        <f>COUNTIF(B36:B132, "9d")</f>
        <v>0</v>
      </c>
      <c r="J45">
        <f t="shared" si="0"/>
        <v>0</v>
      </c>
      <c r="Q45" t="s">
        <v>67</v>
      </c>
      <c r="R45">
        <v>0</v>
      </c>
      <c r="S45">
        <f t="shared" si="2"/>
        <v>0</v>
      </c>
      <c r="Z45" t="s">
        <v>67</v>
      </c>
      <c r="AA45">
        <v>0</v>
      </c>
      <c r="AB45">
        <f t="shared" si="4"/>
        <v>0</v>
      </c>
      <c r="AI45" t="s">
        <v>67</v>
      </c>
      <c r="AJ45">
        <v>0</v>
      </c>
      <c r="AK45">
        <f t="shared" si="6"/>
        <v>0</v>
      </c>
      <c r="AR45" t="s">
        <v>67</v>
      </c>
      <c r="AS45">
        <v>0</v>
      </c>
      <c r="AT45">
        <f t="shared" si="8"/>
        <v>0</v>
      </c>
      <c r="BA45" t="s">
        <v>67</v>
      </c>
      <c r="BB45">
        <v>0</v>
      </c>
      <c r="BC45">
        <f t="shared" si="9"/>
        <v>0</v>
      </c>
    </row>
    <row r="46" spans="1:55" x14ac:dyDescent="0.5">
      <c r="A46" s="1">
        <v>45</v>
      </c>
      <c r="B46" s="1" t="s">
        <v>17</v>
      </c>
      <c r="C46" s="1" t="s">
        <v>4</v>
      </c>
      <c r="D46" s="1">
        <v>14.23</v>
      </c>
      <c r="E46" s="1">
        <v>0.02</v>
      </c>
      <c r="G46" t="s">
        <v>68</v>
      </c>
      <c r="H46">
        <f>COUNTIF(B37:B133, "9e")</f>
        <v>0</v>
      </c>
      <c r="J46">
        <f t="shared" si="0"/>
        <v>0</v>
      </c>
      <c r="Q46" t="s">
        <v>68</v>
      </c>
      <c r="R46">
        <v>0</v>
      </c>
      <c r="S46">
        <f t="shared" si="2"/>
        <v>0</v>
      </c>
      <c r="Z46" t="s">
        <v>68</v>
      </c>
      <c r="AA46">
        <v>0</v>
      </c>
      <c r="AB46">
        <f t="shared" si="4"/>
        <v>0</v>
      </c>
      <c r="AI46" t="s">
        <v>68</v>
      </c>
      <c r="AJ46">
        <v>0</v>
      </c>
      <c r="AK46">
        <f t="shared" si="6"/>
        <v>0</v>
      </c>
      <c r="AR46" t="s">
        <v>68</v>
      </c>
      <c r="AS46">
        <v>0</v>
      </c>
      <c r="AT46">
        <f t="shared" si="8"/>
        <v>0</v>
      </c>
      <c r="BA46" t="s">
        <v>68</v>
      </c>
      <c r="BB46">
        <v>0</v>
      </c>
      <c r="BC46">
        <f t="shared" si="9"/>
        <v>0</v>
      </c>
    </row>
    <row r="47" spans="1:55" x14ac:dyDescent="0.5">
      <c r="A47" s="1">
        <v>46</v>
      </c>
      <c r="B47" s="1" t="s">
        <v>18</v>
      </c>
      <c r="C47" s="1" t="s">
        <v>4</v>
      </c>
      <c r="D47" s="1">
        <v>16.829999999999998</v>
      </c>
      <c r="E47" s="1">
        <v>2.9000000000000001E-2</v>
      </c>
      <c r="G47" t="s">
        <v>21</v>
      </c>
      <c r="H47">
        <f>COUNTIF(B38:B134, "10a")</f>
        <v>4</v>
      </c>
      <c r="J47">
        <f>H47/$J$1</f>
        <v>421.0526315789474</v>
      </c>
      <c r="Q47" t="s">
        <v>21</v>
      </c>
      <c r="R47">
        <v>4</v>
      </c>
      <c r="S47">
        <f t="shared" si="2"/>
        <v>421.0526315789474</v>
      </c>
      <c r="Z47" t="s">
        <v>21</v>
      </c>
      <c r="AA47">
        <v>4</v>
      </c>
      <c r="AB47">
        <f t="shared" si="4"/>
        <v>421.0526315789474</v>
      </c>
      <c r="AI47" t="s">
        <v>21</v>
      </c>
      <c r="AJ47">
        <v>0</v>
      </c>
      <c r="AK47">
        <f t="shared" si="6"/>
        <v>0</v>
      </c>
      <c r="AR47" t="s">
        <v>21</v>
      </c>
      <c r="AS47">
        <v>0</v>
      </c>
      <c r="AT47">
        <f t="shared" si="8"/>
        <v>0</v>
      </c>
      <c r="BA47" t="s">
        <v>21</v>
      </c>
      <c r="BB47">
        <v>0</v>
      </c>
      <c r="BC47">
        <f t="shared" si="9"/>
        <v>0</v>
      </c>
    </row>
    <row r="48" spans="1:55" x14ac:dyDescent="0.5">
      <c r="A48" s="1">
        <v>47</v>
      </c>
      <c r="B48" s="1" t="s">
        <v>18</v>
      </c>
      <c r="C48" s="1" t="s">
        <v>8</v>
      </c>
      <c r="D48" s="1">
        <v>10.119999999999999</v>
      </c>
      <c r="E48" s="1">
        <v>3.0000000000000001E-3</v>
      </c>
      <c r="G48" t="s">
        <v>22</v>
      </c>
      <c r="H48">
        <f>COUNTIF(B39:B135, "10b")</f>
        <v>4</v>
      </c>
      <c r="J48">
        <f t="shared" si="0"/>
        <v>421.0526315789474</v>
      </c>
      <c r="Q48" t="s">
        <v>22</v>
      </c>
      <c r="R48">
        <v>4</v>
      </c>
      <c r="S48">
        <f>R48/$J$1</f>
        <v>421.0526315789474</v>
      </c>
      <c r="Z48" t="s">
        <v>22</v>
      </c>
      <c r="AA48">
        <v>4</v>
      </c>
      <c r="AB48">
        <f t="shared" si="4"/>
        <v>421.0526315789474</v>
      </c>
      <c r="AI48" t="s">
        <v>22</v>
      </c>
      <c r="AJ48">
        <v>0</v>
      </c>
      <c r="AK48">
        <f t="shared" si="6"/>
        <v>0</v>
      </c>
      <c r="AR48" t="s">
        <v>22</v>
      </c>
      <c r="AS48">
        <v>0</v>
      </c>
      <c r="AT48">
        <f t="shared" si="8"/>
        <v>0</v>
      </c>
      <c r="BA48" t="s">
        <v>22</v>
      </c>
      <c r="BB48">
        <v>0</v>
      </c>
      <c r="BC48">
        <f t="shared" si="9"/>
        <v>0</v>
      </c>
    </row>
    <row r="49" spans="1:55" x14ac:dyDescent="0.5">
      <c r="A49" s="1">
        <v>48</v>
      </c>
      <c r="B49" s="1" t="s">
        <v>18</v>
      </c>
      <c r="C49" s="1" t="s">
        <v>8</v>
      </c>
      <c r="D49" s="1">
        <v>9.1199999999999992</v>
      </c>
      <c r="E49" s="1">
        <v>1E-3</v>
      </c>
      <c r="G49" t="s">
        <v>23</v>
      </c>
      <c r="H49">
        <f>COUNTIF(B40:B136, "10c")</f>
        <v>1</v>
      </c>
      <c r="J49">
        <f t="shared" si="0"/>
        <v>105.26315789473685</v>
      </c>
      <c r="Q49" t="s">
        <v>23</v>
      </c>
      <c r="R49">
        <v>1</v>
      </c>
      <c r="S49">
        <f t="shared" si="2"/>
        <v>105.26315789473685</v>
      </c>
      <c r="Z49" t="s">
        <v>23</v>
      </c>
      <c r="AA49">
        <v>1</v>
      </c>
      <c r="AB49">
        <f t="shared" si="4"/>
        <v>105.26315789473685</v>
      </c>
      <c r="AI49" t="s">
        <v>23</v>
      </c>
      <c r="AJ49">
        <v>0</v>
      </c>
      <c r="AK49">
        <f t="shared" si="6"/>
        <v>0</v>
      </c>
      <c r="AR49" t="s">
        <v>23</v>
      </c>
      <c r="AS49">
        <v>0</v>
      </c>
      <c r="AT49">
        <f t="shared" si="8"/>
        <v>0</v>
      </c>
      <c r="BA49" t="s">
        <v>23</v>
      </c>
      <c r="BB49">
        <v>0</v>
      </c>
      <c r="BC49">
        <f t="shared" si="9"/>
        <v>0</v>
      </c>
    </row>
    <row r="50" spans="1:55" x14ac:dyDescent="0.5">
      <c r="A50" s="1">
        <v>49</v>
      </c>
      <c r="B50" s="1" t="s">
        <v>18</v>
      </c>
      <c r="C50" s="1" t="s">
        <v>8</v>
      </c>
      <c r="D50" s="1">
        <v>9.6199999999999992</v>
      </c>
      <c r="E50" s="1">
        <v>2E-3</v>
      </c>
      <c r="G50" t="s">
        <v>24</v>
      </c>
      <c r="H50">
        <f>COUNTIF(B41:B137, "10d")</f>
        <v>2</v>
      </c>
      <c r="J50">
        <f t="shared" si="0"/>
        <v>210.5263157894737</v>
      </c>
      <c r="Q50" t="s">
        <v>24</v>
      </c>
      <c r="R50">
        <v>2</v>
      </c>
      <c r="S50">
        <f t="shared" si="2"/>
        <v>210.5263157894737</v>
      </c>
      <c r="Z50" t="s">
        <v>24</v>
      </c>
      <c r="AA50">
        <v>2</v>
      </c>
      <c r="AB50">
        <f t="shared" si="4"/>
        <v>210.5263157894737</v>
      </c>
      <c r="AI50" t="s">
        <v>24</v>
      </c>
      <c r="AJ50">
        <v>0</v>
      </c>
      <c r="AK50">
        <f t="shared" si="6"/>
        <v>0</v>
      </c>
      <c r="AR50" t="s">
        <v>24</v>
      </c>
      <c r="AS50">
        <v>0</v>
      </c>
      <c r="AT50">
        <f t="shared" si="8"/>
        <v>0</v>
      </c>
      <c r="BA50" t="s">
        <v>24</v>
      </c>
      <c r="BB50">
        <v>0</v>
      </c>
      <c r="BC50">
        <f t="shared" si="9"/>
        <v>0</v>
      </c>
    </row>
    <row r="51" spans="1:55" x14ac:dyDescent="0.5">
      <c r="A51" s="1">
        <v>50</v>
      </c>
      <c r="B51" s="1" t="s">
        <v>19</v>
      </c>
      <c r="C51" s="1" t="s">
        <v>4</v>
      </c>
      <c r="D51" s="1">
        <v>13.23</v>
      </c>
      <c r="E51" s="1">
        <v>1.2E-2</v>
      </c>
      <c r="G51" t="s">
        <v>69</v>
      </c>
      <c r="H51">
        <f>COUNTIF(B42:B138, "10e")</f>
        <v>0</v>
      </c>
      <c r="J51">
        <f t="shared" si="0"/>
        <v>0</v>
      </c>
      <c r="Q51" t="s">
        <v>69</v>
      </c>
      <c r="R51">
        <v>0</v>
      </c>
      <c r="S51">
        <f t="shared" si="2"/>
        <v>0</v>
      </c>
      <c r="Z51" t="s">
        <v>69</v>
      </c>
      <c r="AA51">
        <v>0</v>
      </c>
      <c r="AB51">
        <f t="shared" si="4"/>
        <v>0</v>
      </c>
      <c r="AI51" t="s">
        <v>69</v>
      </c>
      <c r="AJ51">
        <v>0</v>
      </c>
      <c r="AK51">
        <f t="shared" si="6"/>
        <v>0</v>
      </c>
      <c r="AR51" t="s">
        <v>69</v>
      </c>
      <c r="AS51">
        <v>0</v>
      </c>
      <c r="AT51">
        <f t="shared" si="8"/>
        <v>0</v>
      </c>
      <c r="BA51" t="s">
        <v>69</v>
      </c>
      <c r="BB51">
        <v>0</v>
      </c>
      <c r="BC51">
        <f t="shared" si="9"/>
        <v>0</v>
      </c>
    </row>
    <row r="52" spans="1:55" x14ac:dyDescent="0.5">
      <c r="A52" s="1">
        <v>51</v>
      </c>
      <c r="B52" s="1" t="s">
        <v>19</v>
      </c>
      <c r="C52" s="1" t="s">
        <v>8</v>
      </c>
      <c r="D52" s="1">
        <v>11.82</v>
      </c>
      <c r="E52" s="1">
        <v>7.0000000000000001E-3</v>
      </c>
    </row>
    <row r="53" spans="1:55" x14ac:dyDescent="0.5">
      <c r="A53" s="1">
        <v>52</v>
      </c>
      <c r="B53" s="1" t="s">
        <v>20</v>
      </c>
      <c r="C53" s="1" t="s">
        <v>4</v>
      </c>
      <c r="D53" s="1">
        <v>13.1</v>
      </c>
      <c r="E53" s="1">
        <v>1.2E-2</v>
      </c>
    </row>
    <row r="54" spans="1:55" x14ac:dyDescent="0.5">
      <c r="A54" s="1">
        <v>53</v>
      </c>
      <c r="B54" s="1" t="s">
        <v>20</v>
      </c>
      <c r="C54" s="1" t="s">
        <v>4</v>
      </c>
      <c r="D54" s="1">
        <v>10.99</v>
      </c>
      <c r="E54" s="1">
        <v>8.9999999999999993E-3</v>
      </c>
    </row>
    <row r="55" spans="1:55" x14ac:dyDescent="0.5">
      <c r="A55" s="1">
        <v>54</v>
      </c>
      <c r="B55" s="1" t="s">
        <v>20</v>
      </c>
      <c r="C55" s="1" t="s">
        <v>8</v>
      </c>
      <c r="D55" s="1">
        <v>13.42</v>
      </c>
      <c r="E55" s="1">
        <v>8.9999999999999993E-3</v>
      </c>
    </row>
    <row r="56" spans="1:55" x14ac:dyDescent="0.5">
      <c r="A56" s="1">
        <v>55</v>
      </c>
      <c r="B56" s="1" t="s">
        <v>20</v>
      </c>
      <c r="C56" s="1" t="s">
        <v>8</v>
      </c>
      <c r="D56" s="1">
        <v>9.16</v>
      </c>
      <c r="E56" s="1">
        <v>3.0000000000000001E-3</v>
      </c>
    </row>
    <row r="57" spans="1:55" x14ac:dyDescent="0.5">
      <c r="A57" s="1">
        <v>56</v>
      </c>
      <c r="B57" s="1" t="s">
        <v>20</v>
      </c>
      <c r="C57" s="1" t="s">
        <v>8</v>
      </c>
      <c r="D57" s="1">
        <v>8.4600000000000009</v>
      </c>
      <c r="E57" s="1">
        <v>1E-3</v>
      </c>
    </row>
    <row r="58" spans="1:55" x14ac:dyDescent="0.5">
      <c r="A58" s="1">
        <v>57</v>
      </c>
      <c r="B58" s="1" t="s">
        <v>21</v>
      </c>
      <c r="C58" s="1" t="s">
        <v>4</v>
      </c>
      <c r="D58" s="1">
        <v>17.54</v>
      </c>
      <c r="E58" s="1">
        <v>4.1000000000000002E-2</v>
      </c>
    </row>
    <row r="59" spans="1:55" x14ac:dyDescent="0.5">
      <c r="A59" s="1">
        <v>58</v>
      </c>
      <c r="B59" s="1" t="s">
        <v>21</v>
      </c>
      <c r="C59" s="1" t="s">
        <v>4</v>
      </c>
      <c r="D59" s="1">
        <v>13.89</v>
      </c>
      <c r="E59" s="1">
        <v>1.2E-2</v>
      </c>
    </row>
    <row r="60" spans="1:55" x14ac:dyDescent="0.5">
      <c r="A60" s="1">
        <v>59</v>
      </c>
      <c r="B60" s="1" t="s">
        <v>21</v>
      </c>
      <c r="C60" s="1" t="s">
        <v>4</v>
      </c>
      <c r="D60" s="1">
        <v>12.96</v>
      </c>
      <c r="E60" s="1">
        <v>1.2E-2</v>
      </c>
    </row>
    <row r="61" spans="1:55" x14ac:dyDescent="0.5">
      <c r="A61" s="1">
        <v>60</v>
      </c>
      <c r="B61" s="1" t="s">
        <v>21</v>
      </c>
      <c r="C61" s="1" t="s">
        <v>4</v>
      </c>
      <c r="D61" s="1">
        <v>8.09</v>
      </c>
      <c r="E61" s="1">
        <v>0</v>
      </c>
    </row>
    <row r="62" spans="1:55" x14ac:dyDescent="0.5">
      <c r="A62" s="1">
        <v>61</v>
      </c>
      <c r="B62" s="1" t="s">
        <v>22</v>
      </c>
      <c r="C62" s="1" t="s">
        <v>4</v>
      </c>
      <c r="D62" s="1">
        <v>16.87</v>
      </c>
      <c r="E62" s="1">
        <v>3.5999999999999997E-2</v>
      </c>
    </row>
    <row r="63" spans="1:55" x14ac:dyDescent="0.5">
      <c r="A63" s="1">
        <v>62</v>
      </c>
      <c r="B63" s="1" t="s">
        <v>22</v>
      </c>
      <c r="C63" s="1" t="s">
        <v>4</v>
      </c>
      <c r="D63" s="1">
        <v>13.76</v>
      </c>
      <c r="E63" s="1">
        <v>1.9E-2</v>
      </c>
    </row>
    <row r="64" spans="1:55" x14ac:dyDescent="0.5">
      <c r="A64" s="1">
        <v>63</v>
      </c>
      <c r="B64" s="1" t="s">
        <v>22</v>
      </c>
      <c r="C64" s="1" t="s">
        <v>4</v>
      </c>
      <c r="D64" s="1">
        <v>12.98</v>
      </c>
      <c r="E64" s="1">
        <v>1.2999999999999999E-2</v>
      </c>
    </row>
    <row r="65" spans="1:5" x14ac:dyDescent="0.5">
      <c r="A65" s="1">
        <v>64</v>
      </c>
      <c r="B65" s="1" t="s">
        <v>22</v>
      </c>
      <c r="C65" s="1" t="s">
        <v>4</v>
      </c>
      <c r="D65" s="1">
        <v>11.02</v>
      </c>
      <c r="E65" s="1">
        <v>7.0000000000000001E-3</v>
      </c>
    </row>
    <row r="66" spans="1:5" x14ac:dyDescent="0.5">
      <c r="A66" s="1">
        <v>65</v>
      </c>
      <c r="B66" s="1" t="s">
        <v>23</v>
      </c>
      <c r="C66" s="1" t="s">
        <v>4</v>
      </c>
      <c r="D66" s="1">
        <v>12.86</v>
      </c>
      <c r="E66" s="1">
        <v>1.6E-2</v>
      </c>
    </row>
    <row r="67" spans="1:5" x14ac:dyDescent="0.5">
      <c r="A67" s="1">
        <v>66</v>
      </c>
      <c r="B67" s="1" t="s">
        <v>24</v>
      </c>
      <c r="C67" s="1" t="s">
        <v>4</v>
      </c>
      <c r="D67" s="1">
        <v>12.26</v>
      </c>
      <c r="E67" s="1">
        <v>1.4999999999999999E-2</v>
      </c>
    </row>
    <row r="68" spans="1:5" x14ac:dyDescent="0.5">
      <c r="A68" s="1">
        <v>67</v>
      </c>
      <c r="B68" s="1" t="s">
        <v>24</v>
      </c>
      <c r="C68" s="1" t="s">
        <v>4</v>
      </c>
      <c r="D68" s="1">
        <v>8.9</v>
      </c>
      <c r="E68" s="1">
        <v>3.0000000000000001E-3</v>
      </c>
    </row>
    <row r="69" spans="1:5" x14ac:dyDescent="0.5">
      <c r="A69" s="1">
        <v>68</v>
      </c>
      <c r="B69" s="1" t="s">
        <v>25</v>
      </c>
      <c r="C69" s="1" t="s">
        <v>4</v>
      </c>
      <c r="D69" s="1">
        <v>6.63</v>
      </c>
      <c r="E69" s="1">
        <v>1E-3</v>
      </c>
    </row>
    <row r="70" spans="1:5" x14ac:dyDescent="0.5">
      <c r="A70" s="1">
        <v>69</v>
      </c>
      <c r="B70" s="1" t="s">
        <v>25</v>
      </c>
      <c r="C70" s="1" t="s">
        <v>8</v>
      </c>
      <c r="D70" s="1">
        <v>14.78</v>
      </c>
      <c r="E70" s="1">
        <v>0.01</v>
      </c>
    </row>
    <row r="71" spans="1:5" x14ac:dyDescent="0.5">
      <c r="A71" s="1">
        <v>70</v>
      </c>
      <c r="B71" s="1" t="s">
        <v>26</v>
      </c>
      <c r="C71" s="1" t="s">
        <v>8</v>
      </c>
      <c r="D71" s="1">
        <v>10.41</v>
      </c>
      <c r="E71" s="1">
        <v>5.0000000000000001E-3</v>
      </c>
    </row>
    <row r="72" spans="1:5" x14ac:dyDescent="0.5">
      <c r="A72" s="1">
        <v>71</v>
      </c>
      <c r="B72" s="1" t="s">
        <v>27</v>
      </c>
      <c r="C72" s="1" t="s">
        <v>8</v>
      </c>
      <c r="D72" s="1">
        <v>15.99</v>
      </c>
      <c r="E72" s="1">
        <v>1.4999999999999999E-2</v>
      </c>
    </row>
    <row r="73" spans="1:5" x14ac:dyDescent="0.5">
      <c r="A73" s="1">
        <v>72</v>
      </c>
      <c r="B73" s="1" t="s">
        <v>28</v>
      </c>
      <c r="C73" s="1" t="s">
        <v>4</v>
      </c>
      <c r="D73" s="1">
        <v>7.54</v>
      </c>
      <c r="E73" s="1">
        <v>2E-3</v>
      </c>
    </row>
    <row r="74" spans="1:5" x14ac:dyDescent="0.5">
      <c r="A74" s="1">
        <v>73</v>
      </c>
      <c r="B74" s="1" t="s">
        <v>28</v>
      </c>
      <c r="C74" s="1" t="s">
        <v>4</v>
      </c>
      <c r="D74" s="1">
        <v>7.07</v>
      </c>
      <c r="E74" s="1">
        <v>2E-3</v>
      </c>
    </row>
    <row r="75" spans="1:5" x14ac:dyDescent="0.5">
      <c r="A75" s="1">
        <v>74</v>
      </c>
      <c r="B75" s="1" t="s">
        <v>29</v>
      </c>
      <c r="C75" s="1" t="s">
        <v>8</v>
      </c>
      <c r="D75" s="1">
        <v>13.44</v>
      </c>
      <c r="E75" s="1">
        <v>1.2999999999999999E-2</v>
      </c>
    </row>
    <row r="76" spans="1:5" x14ac:dyDescent="0.5">
      <c r="A76" s="1">
        <v>75</v>
      </c>
      <c r="B76" s="1" t="s">
        <v>30</v>
      </c>
      <c r="C76" s="1" t="s">
        <v>8</v>
      </c>
      <c r="D76" s="1">
        <v>12.71</v>
      </c>
      <c r="E76" s="1">
        <v>8.9999999999999993E-3</v>
      </c>
    </row>
    <row r="77" spans="1:5" x14ac:dyDescent="0.5">
      <c r="A77" s="1">
        <v>76</v>
      </c>
      <c r="B77" s="1" t="s">
        <v>30</v>
      </c>
      <c r="C77" s="1" t="s">
        <v>8</v>
      </c>
      <c r="D77" s="1">
        <v>11.91</v>
      </c>
      <c r="E77" s="1">
        <v>7.0000000000000001E-3</v>
      </c>
    </row>
    <row r="78" spans="1:5" x14ac:dyDescent="0.5">
      <c r="A78" s="1">
        <v>77</v>
      </c>
      <c r="B78" s="1" t="s">
        <v>31</v>
      </c>
      <c r="C78" s="1" t="s">
        <v>8</v>
      </c>
      <c r="D78" s="1">
        <v>13.01</v>
      </c>
      <c r="E78" s="1">
        <v>1.2E-2</v>
      </c>
    </row>
    <row r="79" spans="1:5" x14ac:dyDescent="0.5">
      <c r="A79" s="1">
        <v>78</v>
      </c>
      <c r="B79" s="1" t="s">
        <v>31</v>
      </c>
      <c r="C79" s="1" t="s">
        <v>8</v>
      </c>
      <c r="D79" s="1">
        <v>16.100000000000001</v>
      </c>
      <c r="E79" s="1">
        <v>2.1999999999999999E-2</v>
      </c>
    </row>
    <row r="80" spans="1:5" x14ac:dyDescent="0.5">
      <c r="A80" s="1">
        <v>79</v>
      </c>
      <c r="B80" s="1" t="s">
        <v>31</v>
      </c>
      <c r="C80" s="1" t="s">
        <v>8</v>
      </c>
      <c r="D80" s="1">
        <v>11.63</v>
      </c>
      <c r="E80" s="1">
        <v>0.01</v>
      </c>
    </row>
    <row r="81" spans="1:6" x14ac:dyDescent="0.5">
      <c r="A81" s="1">
        <v>80</v>
      </c>
      <c r="B81" s="1" t="s">
        <v>31</v>
      </c>
      <c r="C81" s="1" t="s">
        <v>8</v>
      </c>
      <c r="D81" s="1">
        <v>10.78</v>
      </c>
      <c r="E81" s="1">
        <v>6.0000000000000001E-3</v>
      </c>
    </row>
    <row r="82" spans="1:6" x14ac:dyDescent="0.5">
      <c r="A82" s="1">
        <v>81</v>
      </c>
      <c r="B82" s="1" t="s">
        <v>31</v>
      </c>
      <c r="C82" s="1" t="s">
        <v>8</v>
      </c>
      <c r="D82" s="1">
        <v>11.7</v>
      </c>
      <c r="E82" s="1">
        <v>8.9999999999999993E-3</v>
      </c>
    </row>
    <row r="83" spans="1:6" x14ac:dyDescent="0.5">
      <c r="A83" s="1">
        <v>82</v>
      </c>
      <c r="B83" s="1" t="s">
        <v>32</v>
      </c>
      <c r="C83" s="1" t="s">
        <v>8</v>
      </c>
      <c r="D83" s="1">
        <v>13.64</v>
      </c>
      <c r="E83" s="1">
        <v>1.2E-2</v>
      </c>
    </row>
    <row r="84" spans="1:6" x14ac:dyDescent="0.5">
      <c r="A84" s="1">
        <v>83</v>
      </c>
      <c r="B84" s="1" t="s">
        <v>33</v>
      </c>
      <c r="C84" s="1" t="s">
        <v>8</v>
      </c>
      <c r="D84" s="1">
        <v>9.66</v>
      </c>
      <c r="E84" s="1">
        <v>5.0000000000000001E-3</v>
      </c>
    </row>
    <row r="85" spans="1:6" x14ac:dyDescent="0.5">
      <c r="A85" s="5" t="s">
        <v>34</v>
      </c>
      <c r="B85" s="5" t="s">
        <v>3</v>
      </c>
      <c r="C85" s="5" t="s">
        <v>4</v>
      </c>
      <c r="D85" s="5"/>
      <c r="E85" s="5">
        <v>1.4999999999999999E-2</v>
      </c>
      <c r="F85" s="6"/>
    </row>
    <row r="86" spans="1:6" x14ac:dyDescent="0.5">
      <c r="A86" s="5" t="s">
        <v>35</v>
      </c>
      <c r="B86" s="5" t="s">
        <v>32</v>
      </c>
      <c r="C86" s="5" t="s">
        <v>8</v>
      </c>
      <c r="D86" s="5"/>
      <c r="E86" s="5">
        <v>6.0000000000000001E-3</v>
      </c>
      <c r="F86" s="6"/>
    </row>
    <row r="87" spans="1:6" x14ac:dyDescent="0.5">
      <c r="A87" s="5" t="s">
        <v>36</v>
      </c>
      <c r="B87" s="5" t="s">
        <v>62</v>
      </c>
      <c r="C87" s="5" t="s">
        <v>4</v>
      </c>
      <c r="D87" s="5"/>
      <c r="E87" s="5">
        <v>5.5E-2</v>
      </c>
      <c r="F87" s="6"/>
    </row>
    <row r="88" spans="1:6" x14ac:dyDescent="0.5">
      <c r="A88" s="5" t="s">
        <v>37</v>
      </c>
      <c r="B88" s="5" t="s">
        <v>20</v>
      </c>
      <c r="C88" s="5" t="s">
        <v>38</v>
      </c>
      <c r="D88" s="5"/>
      <c r="E88" s="5">
        <v>0</v>
      </c>
      <c r="F88" s="6"/>
    </row>
    <row r="89" spans="1:6" x14ac:dyDescent="0.5">
      <c r="A89" s="5" t="s">
        <v>39</v>
      </c>
      <c r="B89" s="5" t="s">
        <v>59</v>
      </c>
      <c r="C89" s="5" t="s">
        <v>38</v>
      </c>
      <c r="D89" s="5"/>
      <c r="E89" s="5">
        <v>2E-3</v>
      </c>
      <c r="F89" s="6"/>
    </row>
    <row r="90" spans="1:6" x14ac:dyDescent="0.5">
      <c r="A90" s="5"/>
      <c r="B90" s="5"/>
      <c r="C90" s="5"/>
      <c r="D90" s="5"/>
      <c r="E90" s="5"/>
      <c r="F90" s="6"/>
    </row>
    <row r="91" spans="1:6" x14ac:dyDescent="0.5">
      <c r="A91" s="9" t="s">
        <v>117</v>
      </c>
      <c r="B91" s="9"/>
      <c r="C91" s="5"/>
      <c r="D91" s="5"/>
      <c r="E91" s="5"/>
      <c r="F91" s="6"/>
    </row>
    <row r="92" spans="1:6" x14ac:dyDescent="0.5">
      <c r="A92" s="5">
        <v>78</v>
      </c>
      <c r="B92" s="5" t="s">
        <v>29</v>
      </c>
      <c r="C92" s="5" t="s">
        <v>109</v>
      </c>
      <c r="D92" s="5">
        <v>68.010000000000005</v>
      </c>
      <c r="E92" s="5">
        <v>8.6999999999999994E-2</v>
      </c>
      <c r="F92" s="6"/>
    </row>
    <row r="93" spans="1:6" x14ac:dyDescent="0.5">
      <c r="A93" s="5">
        <v>79</v>
      </c>
      <c r="B93" s="5" t="s">
        <v>42</v>
      </c>
      <c r="C93" s="5" t="s">
        <v>109</v>
      </c>
      <c r="D93" s="5">
        <v>27.9</v>
      </c>
      <c r="E93" s="5">
        <v>4.2999999999999997E-2</v>
      </c>
      <c r="F93" s="6"/>
    </row>
    <row r="94" spans="1:6" x14ac:dyDescent="0.5">
      <c r="A94" s="5">
        <v>80</v>
      </c>
      <c r="B94" s="5" t="s">
        <v>59</v>
      </c>
      <c r="C94" s="5" t="s">
        <v>109</v>
      </c>
      <c r="D94" s="5">
        <v>6</v>
      </c>
      <c r="E94" s="5">
        <v>0</v>
      </c>
      <c r="F94" s="6"/>
    </row>
    <row r="95" spans="1:6" x14ac:dyDescent="0.5">
      <c r="A95" s="5">
        <v>81</v>
      </c>
      <c r="B95" s="5" t="s">
        <v>32</v>
      </c>
      <c r="C95" s="5" t="s">
        <v>109</v>
      </c>
      <c r="D95" s="5">
        <v>28.8</v>
      </c>
      <c r="E95" s="5">
        <v>4.0000000000000001E-3</v>
      </c>
      <c r="F95" s="6"/>
    </row>
    <row r="96" spans="1:6" x14ac:dyDescent="0.5">
      <c r="A96" s="5">
        <v>82</v>
      </c>
      <c r="B96" s="5" t="s">
        <v>44</v>
      </c>
      <c r="C96" s="5" t="s">
        <v>109</v>
      </c>
      <c r="D96" s="5">
        <v>49</v>
      </c>
      <c r="E96" s="5">
        <v>5.6000000000000001E-2</v>
      </c>
      <c r="F96" s="6"/>
    </row>
    <row r="97" spans="1:6" x14ac:dyDescent="0.5">
      <c r="A97" s="5">
        <v>83</v>
      </c>
      <c r="B97" s="5" t="s">
        <v>45</v>
      </c>
      <c r="C97" s="5" t="s">
        <v>109</v>
      </c>
      <c r="D97" s="5">
        <v>17.8</v>
      </c>
      <c r="E97" s="5">
        <v>-3.0000000000000001E-3</v>
      </c>
      <c r="F97" s="6"/>
    </row>
    <row r="98" spans="1:6" x14ac:dyDescent="0.5">
      <c r="A98" s="5">
        <v>84</v>
      </c>
      <c r="B98" s="5" t="s">
        <v>59</v>
      </c>
      <c r="C98" s="5" t="s">
        <v>109</v>
      </c>
      <c r="D98" s="5">
        <v>25.07</v>
      </c>
      <c r="E98" s="5">
        <v>-3.0000000000000001E-3</v>
      </c>
      <c r="F98" s="6"/>
    </row>
  </sheetData>
  <mergeCells count="1">
    <mergeCell ref="A91:B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4C24-EC3E-3948-ADDD-5A0FA7CF6239}">
  <dimension ref="A1:AX53"/>
  <sheetViews>
    <sheetView topLeftCell="H1" workbookViewId="0">
      <selection activeCell="L17" sqref="L17"/>
    </sheetView>
  </sheetViews>
  <sheetFormatPr baseColWidth="10" defaultRowHeight="15.75" x14ac:dyDescent="0.5"/>
  <cols>
    <col min="7" max="7" width="13.875" customWidth="1"/>
    <col min="11" max="11" width="20.5625" customWidth="1"/>
    <col min="29" max="29" width="18.4375" customWidth="1"/>
    <col min="31" max="31" width="12.5" customWidth="1"/>
    <col min="38" max="38" width="19.1875" customWidth="1"/>
  </cols>
  <sheetData>
    <row r="1" spans="1:50" s="8" customFormat="1" ht="14.25" x14ac:dyDescent="0.45">
      <c r="A1" s="5" t="s">
        <v>0</v>
      </c>
      <c r="B1" s="5" t="s">
        <v>105</v>
      </c>
      <c r="C1" s="5" t="s">
        <v>106</v>
      </c>
      <c r="D1" s="5" t="s">
        <v>112</v>
      </c>
      <c r="E1" s="5" t="s">
        <v>102</v>
      </c>
      <c r="G1" s="5" t="s">
        <v>116</v>
      </c>
      <c r="H1" s="5" t="s">
        <v>70</v>
      </c>
      <c r="I1" s="5" t="s">
        <v>93</v>
      </c>
      <c r="J1" s="8">
        <v>9.4999999999999998E-3</v>
      </c>
      <c r="K1" s="8" t="s">
        <v>116</v>
      </c>
      <c r="L1" s="8" t="s">
        <v>70</v>
      </c>
      <c r="M1" s="8" t="s">
        <v>121</v>
      </c>
      <c r="O1" s="8" t="s">
        <v>113</v>
      </c>
      <c r="P1" s="8" t="s">
        <v>116</v>
      </c>
      <c r="Q1" s="5" t="s">
        <v>70</v>
      </c>
      <c r="R1" s="8" t="s">
        <v>93</v>
      </c>
      <c r="T1" s="8" t="s">
        <v>100</v>
      </c>
      <c r="U1" s="8" t="s">
        <v>122</v>
      </c>
      <c r="V1" s="8" t="s">
        <v>93</v>
      </c>
      <c r="X1" s="8" t="s">
        <v>4</v>
      </c>
      <c r="Y1" s="5" t="s">
        <v>116</v>
      </c>
      <c r="Z1" s="5" t="s">
        <v>70</v>
      </c>
      <c r="AA1" s="8" t="s">
        <v>93</v>
      </c>
      <c r="AC1" s="8" t="s">
        <v>100</v>
      </c>
      <c r="AE1" s="8" t="s">
        <v>119</v>
      </c>
      <c r="AG1" s="8" t="s">
        <v>99</v>
      </c>
      <c r="AH1" s="5" t="s">
        <v>116</v>
      </c>
      <c r="AI1" s="8" t="s">
        <v>70</v>
      </c>
      <c r="AJ1" s="8" t="s">
        <v>93</v>
      </c>
      <c r="AL1" s="8" t="s">
        <v>100</v>
      </c>
      <c r="AN1" s="8" t="s">
        <v>119</v>
      </c>
      <c r="AQ1" s="8" t="s">
        <v>103</v>
      </c>
      <c r="AR1" s="5" t="s">
        <v>116</v>
      </c>
      <c r="AS1" s="5" t="s">
        <v>70</v>
      </c>
      <c r="AT1" s="8" t="s">
        <v>101</v>
      </c>
      <c r="AV1" s="8" t="s">
        <v>100</v>
      </c>
      <c r="AX1" s="8" t="s">
        <v>119</v>
      </c>
    </row>
    <row r="2" spans="1:50" x14ac:dyDescent="0.5">
      <c r="A2" s="1">
        <v>1</v>
      </c>
      <c r="B2" s="1" t="s">
        <v>71</v>
      </c>
      <c r="C2" s="1" t="s">
        <v>4</v>
      </c>
      <c r="D2" s="1">
        <v>28.12</v>
      </c>
      <c r="E2" s="1">
        <v>0.51600000000000001</v>
      </c>
      <c r="G2" t="s">
        <v>5</v>
      </c>
      <c r="H2">
        <f>COUNTIF($B2:$B39, "1A")</f>
        <v>2</v>
      </c>
      <c r="I2">
        <f>H2/$J$1</f>
        <v>210.5263157894737</v>
      </c>
      <c r="K2">
        <v>1</v>
      </c>
      <c r="L2">
        <f>SUM(I2:I6)</f>
        <v>526.31578947368428</v>
      </c>
      <c r="M2">
        <f>L2/5</f>
        <v>105.26315789473685</v>
      </c>
      <c r="P2" t="s">
        <v>5</v>
      </c>
      <c r="Q2">
        <v>1</v>
      </c>
      <c r="R2">
        <f>Q2/$J$1</f>
        <v>105.26315789473685</v>
      </c>
      <c r="T2">
        <v>1</v>
      </c>
      <c r="U2">
        <f>SUM(R2:R6)</f>
        <v>421.0526315789474</v>
      </c>
      <c r="V2">
        <f>U2/5</f>
        <v>84.21052631578948</v>
      </c>
      <c r="Y2" s="4" t="s">
        <v>5</v>
      </c>
      <c r="Z2">
        <v>1</v>
      </c>
      <c r="AA2">
        <f>Z2/$J$1</f>
        <v>105.26315789473685</v>
      </c>
      <c r="AC2">
        <v>1</v>
      </c>
      <c r="AD2">
        <f>SUM(AA2:AA6)</f>
        <v>421.0526315789474</v>
      </c>
      <c r="AE2">
        <f>AD2/5</f>
        <v>84.21052631578948</v>
      </c>
      <c r="AH2" s="4" t="s">
        <v>5</v>
      </c>
      <c r="AI2">
        <v>0</v>
      </c>
      <c r="AJ2">
        <f>AI2/$J$1</f>
        <v>0</v>
      </c>
      <c r="AL2">
        <v>1</v>
      </c>
      <c r="AM2">
        <v>0</v>
      </c>
      <c r="AN2">
        <v>0</v>
      </c>
      <c r="AR2" s="4" t="s">
        <v>5</v>
      </c>
      <c r="AS2" s="4">
        <v>0</v>
      </c>
      <c r="AT2">
        <f>AS2/$J$1</f>
        <v>0</v>
      </c>
      <c r="AV2">
        <v>1</v>
      </c>
      <c r="AW2">
        <f>SUM(AT2)</f>
        <v>0</v>
      </c>
      <c r="AX2">
        <f>AW2/5</f>
        <v>0</v>
      </c>
    </row>
    <row r="3" spans="1:50" x14ac:dyDescent="0.5">
      <c r="A3" s="1">
        <v>2</v>
      </c>
      <c r="B3" s="1" t="s">
        <v>72</v>
      </c>
      <c r="C3" s="1" t="s">
        <v>4</v>
      </c>
      <c r="D3" s="1">
        <v>16.28</v>
      </c>
      <c r="E3" s="1">
        <v>2.9600000000000001E-2</v>
      </c>
      <c r="G3" t="s">
        <v>3</v>
      </c>
      <c r="H3">
        <f>COUNTIF(B2:B39, "1B")</f>
        <v>1</v>
      </c>
      <c r="I3">
        <f t="shared" ref="I3:I51" si="0">H3/$J$1</f>
        <v>105.26315789473685</v>
      </c>
      <c r="K3">
        <v>2</v>
      </c>
      <c r="L3">
        <f>SUM(I7:I11)</f>
        <v>421.0526315789474</v>
      </c>
      <c r="M3">
        <f t="shared" ref="M3:M11" si="1">L3/5</f>
        <v>84.21052631578948</v>
      </c>
      <c r="P3" t="s">
        <v>3</v>
      </c>
      <c r="Q3">
        <v>1</v>
      </c>
      <c r="R3">
        <f t="shared" ref="R3:R51" si="2">Q3/$J$1</f>
        <v>105.26315789473685</v>
      </c>
      <c r="T3">
        <v>2</v>
      </c>
      <c r="U3">
        <f>SUM(R7:R11)</f>
        <v>421.0526315789474</v>
      </c>
      <c r="V3">
        <f t="shared" ref="V3:V11" si="3">U3/5</f>
        <v>84.21052631578948</v>
      </c>
      <c r="Y3" s="4" t="s">
        <v>3</v>
      </c>
      <c r="Z3">
        <v>1</v>
      </c>
      <c r="AA3">
        <f t="shared" ref="AA3:AA50" si="4">Z3/$J$1</f>
        <v>105.26315789473685</v>
      </c>
      <c r="AC3">
        <v>2</v>
      </c>
      <c r="AD3">
        <f>SUM(AA7:AA11)</f>
        <v>421.0526315789474</v>
      </c>
      <c r="AE3">
        <f t="shared" ref="AE3:AE11" si="5">AD3/5</f>
        <v>84.21052631578948</v>
      </c>
      <c r="AH3" s="4" t="s">
        <v>3</v>
      </c>
      <c r="AI3">
        <v>0</v>
      </c>
      <c r="AJ3">
        <f t="shared" ref="AJ3:AJ51" si="6">AI3/$J$1</f>
        <v>0</v>
      </c>
      <c r="AL3">
        <v>2</v>
      </c>
      <c r="AM3">
        <v>0</v>
      </c>
      <c r="AN3">
        <v>0</v>
      </c>
      <c r="AR3" s="4" t="s">
        <v>3</v>
      </c>
      <c r="AS3" s="4">
        <v>0</v>
      </c>
      <c r="AT3">
        <f t="shared" ref="AT3:AT51" si="7">AS3/$J$1</f>
        <v>0</v>
      </c>
      <c r="AV3">
        <v>2</v>
      </c>
      <c r="AW3">
        <v>0</v>
      </c>
      <c r="AX3">
        <f t="shared" ref="AX3:AX11" si="8">AW3/5</f>
        <v>0</v>
      </c>
    </row>
    <row r="4" spans="1:50" x14ac:dyDescent="0.5">
      <c r="A4" s="1">
        <v>3</v>
      </c>
      <c r="B4" s="1" t="s">
        <v>73</v>
      </c>
      <c r="C4" s="1" t="s">
        <v>4</v>
      </c>
      <c r="D4" s="1">
        <v>10.7</v>
      </c>
      <c r="E4" s="1">
        <v>6.7999999999999996E-3</v>
      </c>
      <c r="G4" t="s">
        <v>9</v>
      </c>
      <c r="H4">
        <f>COUNTIF(B2:B39, "1C")</f>
        <v>0</v>
      </c>
      <c r="I4">
        <f t="shared" si="0"/>
        <v>0</v>
      </c>
      <c r="K4">
        <v>3</v>
      </c>
      <c r="L4">
        <f>SUM(I12:I16)</f>
        <v>842.10526315789491</v>
      </c>
      <c r="M4">
        <f t="shared" si="1"/>
        <v>168.42105263157899</v>
      </c>
      <c r="P4" t="s">
        <v>9</v>
      </c>
      <c r="Q4">
        <v>0</v>
      </c>
      <c r="R4">
        <f t="shared" si="2"/>
        <v>0</v>
      </c>
      <c r="T4">
        <v>3</v>
      </c>
      <c r="U4">
        <f>SUM(R12:R16)</f>
        <v>842.10526315789491</v>
      </c>
      <c r="V4">
        <f t="shared" si="3"/>
        <v>168.42105263157899</v>
      </c>
      <c r="Y4" s="4" t="s">
        <v>9</v>
      </c>
      <c r="Z4">
        <v>0</v>
      </c>
      <c r="AA4">
        <f t="shared" si="4"/>
        <v>0</v>
      </c>
      <c r="AC4">
        <v>3</v>
      </c>
      <c r="AD4">
        <f>SUM(AA12:AA16)</f>
        <v>842.10526315789491</v>
      </c>
      <c r="AE4">
        <f t="shared" si="5"/>
        <v>168.42105263157899</v>
      </c>
      <c r="AH4" s="4" t="s">
        <v>9</v>
      </c>
      <c r="AI4">
        <v>0</v>
      </c>
      <c r="AJ4">
        <f t="shared" si="6"/>
        <v>0</v>
      </c>
      <c r="AL4">
        <v>3</v>
      </c>
      <c r="AM4">
        <v>0</v>
      </c>
      <c r="AN4">
        <v>0</v>
      </c>
      <c r="AR4" s="4" t="s">
        <v>9</v>
      </c>
      <c r="AS4" s="4">
        <v>0</v>
      </c>
      <c r="AT4">
        <f t="shared" si="7"/>
        <v>0</v>
      </c>
      <c r="AV4">
        <v>3</v>
      </c>
      <c r="AW4">
        <v>0</v>
      </c>
      <c r="AX4">
        <f t="shared" si="8"/>
        <v>0</v>
      </c>
    </row>
    <row r="5" spans="1:50" x14ac:dyDescent="0.5">
      <c r="A5" s="1">
        <v>4</v>
      </c>
      <c r="B5" s="1" t="s">
        <v>74</v>
      </c>
      <c r="C5" s="1" t="s">
        <v>4</v>
      </c>
      <c r="D5" s="1">
        <v>29</v>
      </c>
      <c r="E5" s="1">
        <v>0.24759999999999999</v>
      </c>
      <c r="G5" t="s">
        <v>6</v>
      </c>
      <c r="H5">
        <f>COUNTIF(B2:B39, "1D")</f>
        <v>1</v>
      </c>
      <c r="I5">
        <f t="shared" si="0"/>
        <v>105.26315789473685</v>
      </c>
      <c r="K5">
        <v>4</v>
      </c>
      <c r="L5">
        <f>SUM(I17:I21)</f>
        <v>105.26315789473685</v>
      </c>
      <c r="M5">
        <f t="shared" si="1"/>
        <v>21.05263157894737</v>
      </c>
      <c r="P5" t="s">
        <v>6</v>
      </c>
      <c r="Q5">
        <v>1</v>
      </c>
      <c r="R5">
        <f t="shared" si="2"/>
        <v>105.26315789473685</v>
      </c>
      <c r="T5">
        <v>4</v>
      </c>
      <c r="U5">
        <f>SUM(R17:R21)</f>
        <v>105.26315789473685</v>
      </c>
      <c r="V5">
        <f t="shared" si="3"/>
        <v>21.05263157894737</v>
      </c>
      <c r="Y5" s="4" t="s">
        <v>6</v>
      </c>
      <c r="Z5">
        <v>1</v>
      </c>
      <c r="AA5">
        <f t="shared" si="4"/>
        <v>105.26315789473685</v>
      </c>
      <c r="AC5">
        <v>4</v>
      </c>
      <c r="AD5">
        <f>SUM(AA17:AA21)</f>
        <v>105.26315789473685</v>
      </c>
      <c r="AE5">
        <f t="shared" si="5"/>
        <v>21.05263157894737</v>
      </c>
      <c r="AH5" s="4" t="s">
        <v>6</v>
      </c>
      <c r="AI5">
        <v>0</v>
      </c>
      <c r="AJ5">
        <f t="shared" si="6"/>
        <v>0</v>
      </c>
      <c r="AL5">
        <v>4</v>
      </c>
      <c r="AM5">
        <v>0</v>
      </c>
      <c r="AN5">
        <v>0</v>
      </c>
      <c r="AR5" s="4" t="s">
        <v>6</v>
      </c>
      <c r="AS5" s="4">
        <v>0</v>
      </c>
      <c r="AT5">
        <f t="shared" si="7"/>
        <v>0</v>
      </c>
      <c r="AV5">
        <v>4</v>
      </c>
      <c r="AW5">
        <v>0</v>
      </c>
      <c r="AX5">
        <f t="shared" si="8"/>
        <v>0</v>
      </c>
    </row>
    <row r="6" spans="1:50" x14ac:dyDescent="0.5">
      <c r="A6" s="1">
        <v>5</v>
      </c>
      <c r="B6" s="1" t="s">
        <v>75</v>
      </c>
      <c r="C6" s="1" t="s">
        <v>4</v>
      </c>
      <c r="D6" s="1">
        <v>14.45</v>
      </c>
      <c r="E6" s="1">
        <v>2.2700000000000001E-2</v>
      </c>
      <c r="G6" t="s">
        <v>47</v>
      </c>
      <c r="H6">
        <f>COUNTIF(B2:B39, "1E")</f>
        <v>1</v>
      </c>
      <c r="I6">
        <f t="shared" si="0"/>
        <v>105.26315789473685</v>
      </c>
      <c r="K6">
        <v>5</v>
      </c>
      <c r="L6">
        <f>SUM(I22:I26)</f>
        <v>947.36842105263167</v>
      </c>
      <c r="M6">
        <f t="shared" si="1"/>
        <v>189.47368421052633</v>
      </c>
      <c r="P6" t="s">
        <v>47</v>
      </c>
      <c r="Q6">
        <v>1</v>
      </c>
      <c r="R6">
        <f t="shared" si="2"/>
        <v>105.26315789473685</v>
      </c>
      <c r="T6">
        <v>5</v>
      </c>
      <c r="U6">
        <f>SUM(R22:R26)</f>
        <v>842.1052631578948</v>
      </c>
      <c r="V6">
        <f t="shared" si="3"/>
        <v>168.42105263157896</v>
      </c>
      <c r="Y6" s="4" t="s">
        <v>47</v>
      </c>
      <c r="Z6">
        <v>1</v>
      </c>
      <c r="AA6">
        <f t="shared" si="4"/>
        <v>105.26315789473685</v>
      </c>
      <c r="AC6">
        <v>5</v>
      </c>
      <c r="AD6">
        <f>SUM(AA22:AA26)</f>
        <v>842.1052631578948</v>
      </c>
      <c r="AE6">
        <f t="shared" si="5"/>
        <v>168.42105263157896</v>
      </c>
      <c r="AH6" s="4" t="s">
        <v>47</v>
      </c>
      <c r="AI6">
        <v>0</v>
      </c>
      <c r="AJ6">
        <f t="shared" si="6"/>
        <v>0</v>
      </c>
      <c r="AL6">
        <v>5</v>
      </c>
      <c r="AM6">
        <v>0</v>
      </c>
      <c r="AN6">
        <v>0</v>
      </c>
      <c r="AR6" s="4" t="s">
        <v>47</v>
      </c>
      <c r="AS6" s="4">
        <v>0</v>
      </c>
      <c r="AT6">
        <f t="shared" si="7"/>
        <v>0</v>
      </c>
      <c r="AV6">
        <v>5</v>
      </c>
      <c r="AW6">
        <v>105.26315789473685</v>
      </c>
      <c r="AX6">
        <f t="shared" si="8"/>
        <v>21.05263157894737</v>
      </c>
    </row>
    <row r="7" spans="1:50" x14ac:dyDescent="0.5">
      <c r="A7" s="1">
        <v>6</v>
      </c>
      <c r="B7" s="1" t="s">
        <v>75</v>
      </c>
      <c r="C7" s="1" t="s">
        <v>4</v>
      </c>
      <c r="D7" s="1">
        <v>9.8800000000000008</v>
      </c>
      <c r="E7" s="1">
        <v>5.0000000000000001E-3</v>
      </c>
      <c r="G7" t="s">
        <v>13</v>
      </c>
      <c r="H7">
        <f>COUNTIF(B2:B39, "2A")</f>
        <v>0</v>
      </c>
      <c r="I7">
        <f t="shared" si="0"/>
        <v>0</v>
      </c>
      <c r="K7">
        <v>6</v>
      </c>
      <c r="L7">
        <f>SUM(I27:I31)</f>
        <v>421.0526315789474</v>
      </c>
      <c r="M7">
        <f t="shared" si="1"/>
        <v>84.21052631578948</v>
      </c>
      <c r="P7" t="s">
        <v>13</v>
      </c>
      <c r="Q7">
        <v>0</v>
      </c>
      <c r="R7">
        <f t="shared" si="2"/>
        <v>0</v>
      </c>
      <c r="T7">
        <v>6</v>
      </c>
      <c r="U7">
        <f>SUM(R27:R31)</f>
        <v>105.26315789473685</v>
      </c>
      <c r="V7">
        <f t="shared" si="3"/>
        <v>21.05263157894737</v>
      </c>
      <c r="Y7" s="4" t="s">
        <v>13</v>
      </c>
      <c r="Z7">
        <v>0</v>
      </c>
      <c r="AA7">
        <f t="shared" si="4"/>
        <v>0</v>
      </c>
      <c r="AC7">
        <v>6</v>
      </c>
      <c r="AD7">
        <f>SUM(AA27:AA31)</f>
        <v>105.26315789473685</v>
      </c>
      <c r="AE7">
        <f t="shared" si="5"/>
        <v>21.05263157894737</v>
      </c>
      <c r="AH7" s="4" t="s">
        <v>13</v>
      </c>
      <c r="AI7">
        <v>0</v>
      </c>
      <c r="AJ7">
        <f t="shared" si="6"/>
        <v>0</v>
      </c>
      <c r="AL7">
        <v>6</v>
      </c>
      <c r="AM7">
        <v>0</v>
      </c>
      <c r="AN7">
        <v>0</v>
      </c>
      <c r="AR7" s="4" t="s">
        <v>13</v>
      </c>
      <c r="AS7" s="4">
        <v>0</v>
      </c>
      <c r="AT7">
        <f t="shared" si="7"/>
        <v>0</v>
      </c>
      <c r="AV7">
        <v>6</v>
      </c>
      <c r="AW7">
        <f>SUM(AT27:AT31)</f>
        <v>210.5263157894737</v>
      </c>
      <c r="AX7">
        <f t="shared" si="8"/>
        <v>42.10526315789474</v>
      </c>
    </row>
    <row r="8" spans="1:50" x14ac:dyDescent="0.5">
      <c r="A8" s="1">
        <v>7</v>
      </c>
      <c r="B8" s="1" t="s">
        <v>75</v>
      </c>
      <c r="C8" s="1" t="s">
        <v>4</v>
      </c>
      <c r="D8" s="1">
        <v>7.68</v>
      </c>
      <c r="E8" s="1">
        <v>4.0000000000000002E-4</v>
      </c>
      <c r="G8" t="s">
        <v>48</v>
      </c>
      <c r="H8">
        <f>COUNTIF(B2:B39, "2B")</f>
        <v>0</v>
      </c>
      <c r="I8">
        <f t="shared" si="0"/>
        <v>0</v>
      </c>
      <c r="K8">
        <v>7</v>
      </c>
      <c r="L8">
        <f>SUM(I32:I36)</f>
        <v>105.26315789473685</v>
      </c>
      <c r="M8">
        <f t="shared" si="1"/>
        <v>21.05263157894737</v>
      </c>
      <c r="P8" t="s">
        <v>48</v>
      </c>
      <c r="Q8">
        <v>0</v>
      </c>
      <c r="R8">
        <f t="shared" si="2"/>
        <v>0</v>
      </c>
      <c r="T8">
        <v>7</v>
      </c>
      <c r="U8">
        <f>SUM(R32:R36)</f>
        <v>0</v>
      </c>
      <c r="V8">
        <f t="shared" si="3"/>
        <v>0</v>
      </c>
      <c r="Y8" s="4" t="s">
        <v>48</v>
      </c>
      <c r="Z8">
        <v>0</v>
      </c>
      <c r="AA8">
        <f t="shared" si="4"/>
        <v>0</v>
      </c>
      <c r="AC8">
        <v>7</v>
      </c>
      <c r="AD8">
        <v>0</v>
      </c>
      <c r="AE8">
        <f t="shared" si="5"/>
        <v>0</v>
      </c>
      <c r="AH8" s="4" t="s">
        <v>48</v>
      </c>
      <c r="AI8">
        <v>0</v>
      </c>
      <c r="AJ8">
        <f t="shared" si="6"/>
        <v>0</v>
      </c>
      <c r="AL8">
        <v>7</v>
      </c>
      <c r="AM8">
        <v>0</v>
      </c>
      <c r="AN8">
        <v>0</v>
      </c>
      <c r="AR8" s="4" t="s">
        <v>48</v>
      </c>
      <c r="AS8" s="4">
        <v>0</v>
      </c>
      <c r="AT8">
        <f t="shared" si="7"/>
        <v>0</v>
      </c>
      <c r="AV8">
        <v>7</v>
      </c>
      <c r="AW8">
        <v>105.26315789473685</v>
      </c>
      <c r="AX8">
        <f t="shared" si="8"/>
        <v>21.05263157894737</v>
      </c>
    </row>
    <row r="9" spans="1:50" x14ac:dyDescent="0.5">
      <c r="A9" s="1">
        <v>8</v>
      </c>
      <c r="B9" s="1" t="s">
        <v>75</v>
      </c>
      <c r="C9" s="1" t="s">
        <v>4</v>
      </c>
      <c r="D9" s="1">
        <v>28.37</v>
      </c>
      <c r="E9" s="1">
        <v>0.22509999999999999</v>
      </c>
      <c r="G9" t="s">
        <v>49</v>
      </c>
      <c r="H9">
        <f>COUNTIF(B2:B39, "2C")</f>
        <v>0</v>
      </c>
      <c r="I9">
        <f t="shared" si="0"/>
        <v>0</v>
      </c>
      <c r="K9">
        <v>8</v>
      </c>
      <c r="L9">
        <f>SUM(I37:I41)</f>
        <v>0</v>
      </c>
      <c r="M9">
        <f t="shared" si="1"/>
        <v>0</v>
      </c>
      <c r="P9" t="s">
        <v>49</v>
      </c>
      <c r="Q9">
        <v>0</v>
      </c>
      <c r="R9">
        <f t="shared" si="2"/>
        <v>0</v>
      </c>
      <c r="T9">
        <v>8</v>
      </c>
      <c r="U9">
        <f>SUM(R37:R41)</f>
        <v>0</v>
      </c>
      <c r="V9">
        <f t="shared" si="3"/>
        <v>0</v>
      </c>
      <c r="Y9" s="4" t="s">
        <v>49</v>
      </c>
      <c r="Z9">
        <v>0</v>
      </c>
      <c r="AA9">
        <f t="shared" si="4"/>
        <v>0</v>
      </c>
      <c r="AC9">
        <v>8</v>
      </c>
      <c r="AD9">
        <v>0</v>
      </c>
      <c r="AE9">
        <f t="shared" si="5"/>
        <v>0</v>
      </c>
      <c r="AH9" s="4" t="s">
        <v>49</v>
      </c>
      <c r="AI9">
        <v>0</v>
      </c>
      <c r="AJ9">
        <f t="shared" si="6"/>
        <v>0</v>
      </c>
      <c r="AL9">
        <v>8</v>
      </c>
      <c r="AM9">
        <v>0</v>
      </c>
      <c r="AN9">
        <v>0</v>
      </c>
      <c r="AR9" s="4" t="s">
        <v>49</v>
      </c>
      <c r="AS9" s="4">
        <v>0</v>
      </c>
      <c r="AT9">
        <f t="shared" si="7"/>
        <v>0</v>
      </c>
      <c r="AV9">
        <v>8</v>
      </c>
      <c r="AW9">
        <v>0</v>
      </c>
      <c r="AX9">
        <f t="shared" si="8"/>
        <v>0</v>
      </c>
    </row>
    <row r="10" spans="1:50" x14ac:dyDescent="0.5">
      <c r="A10" s="1">
        <v>9</v>
      </c>
      <c r="B10" s="1" t="s">
        <v>76</v>
      </c>
      <c r="C10" s="1" t="s">
        <v>4</v>
      </c>
      <c r="D10" s="1">
        <v>12.63</v>
      </c>
      <c r="E10" s="1">
        <v>1.32E-2</v>
      </c>
      <c r="G10" t="s">
        <v>14</v>
      </c>
      <c r="H10">
        <f>COUNTIF(B2:B39, "2D")</f>
        <v>4</v>
      </c>
      <c r="I10">
        <f t="shared" si="0"/>
        <v>421.0526315789474</v>
      </c>
      <c r="K10">
        <v>9</v>
      </c>
      <c r="L10">
        <f>SUM(I42:I46)</f>
        <v>105.26315789473685</v>
      </c>
      <c r="M10">
        <f t="shared" si="1"/>
        <v>21.05263157894737</v>
      </c>
      <c r="P10" t="s">
        <v>14</v>
      </c>
      <c r="Q10">
        <v>4</v>
      </c>
      <c r="R10">
        <f t="shared" si="2"/>
        <v>421.0526315789474</v>
      </c>
      <c r="T10">
        <v>9</v>
      </c>
      <c r="U10">
        <f>SUM(R42:R46)</f>
        <v>105.26315789473685</v>
      </c>
      <c r="V10">
        <f t="shared" si="3"/>
        <v>21.05263157894737</v>
      </c>
      <c r="Y10" s="4" t="s">
        <v>14</v>
      </c>
      <c r="Z10">
        <v>4</v>
      </c>
      <c r="AA10">
        <f t="shared" si="4"/>
        <v>421.0526315789474</v>
      </c>
      <c r="AC10">
        <v>9</v>
      </c>
      <c r="AD10">
        <v>0</v>
      </c>
      <c r="AE10">
        <f t="shared" si="5"/>
        <v>0</v>
      </c>
      <c r="AH10" s="4" t="s">
        <v>14</v>
      </c>
      <c r="AI10">
        <v>0</v>
      </c>
      <c r="AJ10">
        <f t="shared" si="6"/>
        <v>0</v>
      </c>
      <c r="AL10">
        <v>9</v>
      </c>
      <c r="AM10">
        <v>105.26315789473685</v>
      </c>
      <c r="AN10">
        <f>AM10/5</f>
        <v>21.05263157894737</v>
      </c>
      <c r="AR10" s="4" t="s">
        <v>14</v>
      </c>
      <c r="AS10" s="4">
        <v>0</v>
      </c>
      <c r="AT10">
        <f t="shared" si="7"/>
        <v>0</v>
      </c>
      <c r="AV10">
        <v>9</v>
      </c>
      <c r="AW10">
        <v>0</v>
      </c>
      <c r="AX10">
        <f t="shared" si="8"/>
        <v>0</v>
      </c>
    </row>
    <row r="11" spans="1:50" x14ac:dyDescent="0.5">
      <c r="A11" s="1">
        <v>10</v>
      </c>
      <c r="B11" s="1" t="s">
        <v>77</v>
      </c>
      <c r="C11" s="1" t="s">
        <v>4</v>
      </c>
      <c r="D11" s="1">
        <v>28.39</v>
      </c>
      <c r="E11" s="1">
        <v>0.20100000000000001</v>
      </c>
      <c r="G11" t="s">
        <v>15</v>
      </c>
      <c r="H11">
        <f>COUNTIF(B2:B39, "2E")</f>
        <v>0</v>
      </c>
      <c r="I11">
        <f t="shared" si="0"/>
        <v>0</v>
      </c>
      <c r="K11">
        <v>10</v>
      </c>
      <c r="L11">
        <f>SUM(I47:I51)</f>
        <v>105.26315789473685</v>
      </c>
      <c r="M11">
        <f t="shared" si="1"/>
        <v>21.05263157894737</v>
      </c>
      <c r="P11" t="s">
        <v>15</v>
      </c>
      <c r="Q11">
        <v>0</v>
      </c>
      <c r="R11">
        <f t="shared" si="2"/>
        <v>0</v>
      </c>
      <c r="T11">
        <v>10</v>
      </c>
      <c r="U11">
        <f>SUM(R47:R51)</f>
        <v>105.26315789473685</v>
      </c>
      <c r="V11">
        <f t="shared" si="3"/>
        <v>21.05263157894737</v>
      </c>
      <c r="Y11" s="4" t="s">
        <v>15</v>
      </c>
      <c r="Z11">
        <v>0</v>
      </c>
      <c r="AA11">
        <f t="shared" si="4"/>
        <v>0</v>
      </c>
      <c r="AC11">
        <v>10</v>
      </c>
      <c r="AD11">
        <v>0</v>
      </c>
      <c r="AE11">
        <f t="shared" si="5"/>
        <v>0</v>
      </c>
      <c r="AH11" s="4" t="s">
        <v>15</v>
      </c>
      <c r="AI11">
        <v>0</v>
      </c>
      <c r="AJ11">
        <f t="shared" si="6"/>
        <v>0</v>
      </c>
      <c r="AL11">
        <v>10</v>
      </c>
      <c r="AM11">
        <v>105.26315789473685</v>
      </c>
      <c r="AN11">
        <f>AM11/5</f>
        <v>21.05263157894737</v>
      </c>
      <c r="AR11" s="4" t="s">
        <v>15</v>
      </c>
      <c r="AS11" s="4">
        <v>0</v>
      </c>
      <c r="AT11">
        <f t="shared" si="7"/>
        <v>0</v>
      </c>
      <c r="AV11">
        <v>10</v>
      </c>
      <c r="AW11">
        <v>0</v>
      </c>
      <c r="AX11">
        <f t="shared" si="8"/>
        <v>0</v>
      </c>
    </row>
    <row r="12" spans="1:50" x14ac:dyDescent="0.5">
      <c r="A12" s="1">
        <v>11</v>
      </c>
      <c r="B12" s="1" t="s">
        <v>78</v>
      </c>
      <c r="C12" s="1" t="s">
        <v>79</v>
      </c>
      <c r="D12" s="1">
        <v>14.45</v>
      </c>
      <c r="E12" s="1">
        <v>1.52E-2</v>
      </c>
      <c r="G12" t="s">
        <v>50</v>
      </c>
      <c r="H12">
        <f>COUNTIF(B2:B39, "3A")</f>
        <v>1</v>
      </c>
      <c r="I12">
        <f t="shared" si="0"/>
        <v>105.26315789473685</v>
      </c>
      <c r="P12" t="s">
        <v>50</v>
      </c>
      <c r="Q12">
        <v>1</v>
      </c>
      <c r="R12">
        <f t="shared" si="2"/>
        <v>105.26315789473685</v>
      </c>
      <c r="Y12" s="4" t="s">
        <v>50</v>
      </c>
      <c r="Z12">
        <v>1</v>
      </c>
      <c r="AA12">
        <f t="shared" si="4"/>
        <v>105.26315789473685</v>
      </c>
      <c r="AH12" s="4" t="s">
        <v>50</v>
      </c>
      <c r="AI12">
        <v>0</v>
      </c>
      <c r="AJ12">
        <f t="shared" si="6"/>
        <v>0</v>
      </c>
      <c r="AR12" s="4" t="s">
        <v>50</v>
      </c>
      <c r="AS12" s="4">
        <v>0</v>
      </c>
      <c r="AT12">
        <f t="shared" si="7"/>
        <v>0</v>
      </c>
    </row>
    <row r="13" spans="1:50" x14ac:dyDescent="0.5">
      <c r="A13" s="1">
        <v>12</v>
      </c>
      <c r="B13" s="1" t="s">
        <v>80</v>
      </c>
      <c r="C13" s="1" t="s">
        <v>79</v>
      </c>
      <c r="D13" s="1">
        <v>10.58</v>
      </c>
      <c r="E13" s="1">
        <v>3.2000000000000002E-3</v>
      </c>
      <c r="G13" t="s">
        <v>16</v>
      </c>
      <c r="H13">
        <f>COUNTIF(B3:B39, "3B")</f>
        <v>0</v>
      </c>
      <c r="I13">
        <f t="shared" si="0"/>
        <v>0</v>
      </c>
      <c r="K13" t="s">
        <v>138</v>
      </c>
      <c r="L13" t="s">
        <v>104</v>
      </c>
      <c r="M13">
        <f>MEDIAN(M2:M11)</f>
        <v>52.631578947368425</v>
      </c>
      <c r="P13" t="s">
        <v>16</v>
      </c>
      <c r="Q13">
        <v>0</v>
      </c>
      <c r="R13">
        <f t="shared" si="2"/>
        <v>0</v>
      </c>
      <c r="Y13" s="4" t="s">
        <v>16</v>
      </c>
      <c r="Z13">
        <v>0</v>
      </c>
      <c r="AA13">
        <f t="shared" si="4"/>
        <v>0</v>
      </c>
      <c r="AD13" t="s">
        <v>114</v>
      </c>
      <c r="AE13">
        <f>MEDIAN(AE2:AE11)</f>
        <v>21.05263157894737</v>
      </c>
      <c r="AH13" s="4" t="s">
        <v>16</v>
      </c>
      <c r="AI13">
        <v>0</v>
      </c>
      <c r="AJ13">
        <f t="shared" si="6"/>
        <v>0</v>
      </c>
      <c r="AM13" t="s">
        <v>114</v>
      </c>
      <c r="AN13">
        <f>MEDIAN(AN2:AN11)</f>
        <v>0</v>
      </c>
      <c r="AR13" s="4" t="s">
        <v>16</v>
      </c>
      <c r="AS13" s="4">
        <v>0</v>
      </c>
      <c r="AT13">
        <f t="shared" si="7"/>
        <v>0</v>
      </c>
    </row>
    <row r="14" spans="1:50" x14ac:dyDescent="0.5">
      <c r="A14" s="1">
        <v>13</v>
      </c>
      <c r="B14" s="1" t="s">
        <v>81</v>
      </c>
      <c r="C14" s="1" t="s">
        <v>4</v>
      </c>
      <c r="D14" s="1">
        <v>29.34</v>
      </c>
      <c r="E14" s="1">
        <v>0.28339999999999999</v>
      </c>
      <c r="G14" t="s">
        <v>17</v>
      </c>
      <c r="H14">
        <f>COUNTIF(B2:B39, "3C")</f>
        <v>5</v>
      </c>
      <c r="I14">
        <f t="shared" si="0"/>
        <v>526.31578947368428</v>
      </c>
      <c r="L14" t="s">
        <v>96</v>
      </c>
      <c r="M14">
        <f>MIN(M2:M11)</f>
        <v>0</v>
      </c>
      <c r="P14" t="s">
        <v>17</v>
      </c>
      <c r="Q14">
        <v>5</v>
      </c>
      <c r="R14">
        <f t="shared" si="2"/>
        <v>526.31578947368428</v>
      </c>
      <c r="U14" t="s">
        <v>104</v>
      </c>
      <c r="V14">
        <f>MEDIAN(V2:V11)</f>
        <v>21.05263157894737</v>
      </c>
      <c r="Y14" s="4" t="s">
        <v>17</v>
      </c>
      <c r="Z14">
        <v>5</v>
      </c>
      <c r="AA14">
        <f t="shared" si="4"/>
        <v>526.31578947368428</v>
      </c>
      <c r="AD14" t="s">
        <v>94</v>
      </c>
      <c r="AE14">
        <v>0</v>
      </c>
      <c r="AH14" s="4" t="s">
        <v>17</v>
      </c>
      <c r="AI14">
        <v>0</v>
      </c>
      <c r="AJ14">
        <f t="shared" si="6"/>
        <v>0</v>
      </c>
      <c r="AM14" t="s">
        <v>94</v>
      </c>
      <c r="AN14">
        <v>0</v>
      </c>
      <c r="AR14" s="4" t="s">
        <v>17</v>
      </c>
      <c r="AS14" s="4">
        <v>0</v>
      </c>
      <c r="AT14">
        <f t="shared" si="7"/>
        <v>0</v>
      </c>
    </row>
    <row r="15" spans="1:50" x14ac:dyDescent="0.5">
      <c r="A15" s="1">
        <v>14</v>
      </c>
      <c r="B15" s="1" t="s">
        <v>81</v>
      </c>
      <c r="C15" s="1" t="s">
        <v>4</v>
      </c>
      <c r="D15" s="1">
        <v>9.19</v>
      </c>
      <c r="E15" s="1">
        <v>4.1000000000000003E-3</v>
      </c>
      <c r="G15" t="s">
        <v>51</v>
      </c>
      <c r="H15">
        <f>COUNTIF(B2:B39, "3D")</f>
        <v>1</v>
      </c>
      <c r="I15">
        <f t="shared" si="0"/>
        <v>105.26315789473685</v>
      </c>
      <c r="L15" t="s">
        <v>97</v>
      </c>
      <c r="M15">
        <f>MAX(M2:M11)</f>
        <v>189.47368421052633</v>
      </c>
      <c r="P15" t="s">
        <v>51</v>
      </c>
      <c r="Q15">
        <v>1</v>
      </c>
      <c r="R15">
        <f t="shared" si="2"/>
        <v>105.26315789473685</v>
      </c>
      <c r="U15" t="s">
        <v>94</v>
      </c>
      <c r="V15">
        <v>0</v>
      </c>
      <c r="Y15" s="4" t="s">
        <v>51</v>
      </c>
      <c r="Z15">
        <v>1</v>
      </c>
      <c r="AA15">
        <f t="shared" si="4"/>
        <v>105.26315789473685</v>
      </c>
      <c r="AD15" t="s">
        <v>95</v>
      </c>
      <c r="AE15">
        <f>MAX(AE2:AE11)</f>
        <v>168.42105263157899</v>
      </c>
      <c r="AH15" s="4" t="s">
        <v>51</v>
      </c>
      <c r="AI15">
        <v>0</v>
      </c>
      <c r="AJ15">
        <f t="shared" si="6"/>
        <v>0</v>
      </c>
      <c r="AM15" t="s">
        <v>95</v>
      </c>
      <c r="AN15">
        <f>MAX(AN2:AN11)</f>
        <v>21.05263157894737</v>
      </c>
      <c r="AR15" s="4" t="s">
        <v>51</v>
      </c>
      <c r="AS15" s="4">
        <v>0</v>
      </c>
      <c r="AT15">
        <f t="shared" si="7"/>
        <v>0</v>
      </c>
      <c r="AW15" t="s">
        <v>104</v>
      </c>
      <c r="AX15">
        <f>MEDIAN(AX2:AX11)</f>
        <v>0</v>
      </c>
    </row>
    <row r="16" spans="1:50" x14ac:dyDescent="0.5">
      <c r="A16" s="1">
        <v>15</v>
      </c>
      <c r="B16" s="1" t="s">
        <v>81</v>
      </c>
      <c r="C16" s="1" t="s">
        <v>4</v>
      </c>
      <c r="D16" s="1">
        <v>8.74</v>
      </c>
      <c r="E16" s="1">
        <v>3.8999999999999998E-3</v>
      </c>
      <c r="G16" t="s">
        <v>12</v>
      </c>
      <c r="H16">
        <f>COUNTIF(B3:B39, "3E")</f>
        <v>1</v>
      </c>
      <c r="I16">
        <f t="shared" si="0"/>
        <v>105.26315789473685</v>
      </c>
      <c r="P16" t="s">
        <v>12</v>
      </c>
      <c r="Q16">
        <v>1</v>
      </c>
      <c r="R16">
        <f t="shared" si="2"/>
        <v>105.26315789473685</v>
      </c>
      <c r="U16" t="s">
        <v>95</v>
      </c>
      <c r="V16">
        <f>MAX(V2:V11)</f>
        <v>168.42105263157899</v>
      </c>
      <c r="Y16" s="4" t="s">
        <v>12</v>
      </c>
      <c r="Z16">
        <v>1</v>
      </c>
      <c r="AA16">
        <f t="shared" si="4"/>
        <v>105.26315789473685</v>
      </c>
      <c r="AH16" s="4" t="s">
        <v>12</v>
      </c>
      <c r="AI16">
        <v>0</v>
      </c>
      <c r="AJ16">
        <f t="shared" si="6"/>
        <v>0</v>
      </c>
      <c r="AR16" s="4" t="s">
        <v>12</v>
      </c>
      <c r="AS16" s="4">
        <v>0</v>
      </c>
      <c r="AT16">
        <f t="shared" si="7"/>
        <v>0</v>
      </c>
      <c r="AW16" t="s">
        <v>94</v>
      </c>
      <c r="AX16">
        <v>0</v>
      </c>
    </row>
    <row r="17" spans="1:50" x14ac:dyDescent="0.5">
      <c r="A17" s="1">
        <v>16</v>
      </c>
      <c r="B17" s="1" t="s">
        <v>81</v>
      </c>
      <c r="C17" s="1" t="s">
        <v>4</v>
      </c>
      <c r="D17" s="1">
        <v>5.99</v>
      </c>
      <c r="E17" s="1">
        <v>-1E-3</v>
      </c>
      <c r="G17" t="s">
        <v>52</v>
      </c>
      <c r="H17">
        <f>COUNTIF(B2:B39, "4A")</f>
        <v>1</v>
      </c>
      <c r="I17">
        <f t="shared" si="0"/>
        <v>105.26315789473685</v>
      </c>
      <c r="P17" t="s">
        <v>52</v>
      </c>
      <c r="Q17">
        <v>1</v>
      </c>
      <c r="R17">
        <f t="shared" si="2"/>
        <v>105.26315789473685</v>
      </c>
      <c r="Y17" s="4" t="s">
        <v>52</v>
      </c>
      <c r="Z17">
        <v>1</v>
      </c>
      <c r="AA17">
        <f t="shared" si="4"/>
        <v>105.26315789473685</v>
      </c>
      <c r="AH17" s="4" t="s">
        <v>52</v>
      </c>
      <c r="AI17">
        <v>0</v>
      </c>
      <c r="AJ17">
        <f t="shared" si="6"/>
        <v>0</v>
      </c>
      <c r="AR17" s="4" t="s">
        <v>52</v>
      </c>
      <c r="AS17" s="4">
        <v>0</v>
      </c>
      <c r="AT17">
        <f t="shared" si="7"/>
        <v>0</v>
      </c>
      <c r="AW17" t="s">
        <v>95</v>
      </c>
      <c r="AX17">
        <f>MAX(AX2:AX11)</f>
        <v>42.10526315789474</v>
      </c>
    </row>
    <row r="18" spans="1:50" x14ac:dyDescent="0.5">
      <c r="A18" s="1">
        <v>17</v>
      </c>
      <c r="B18" s="1" t="s">
        <v>82</v>
      </c>
      <c r="C18" s="1" t="s">
        <v>4</v>
      </c>
      <c r="D18" s="1">
        <v>27.46</v>
      </c>
      <c r="E18" s="1">
        <v>0.1739</v>
      </c>
      <c r="G18" t="s">
        <v>11</v>
      </c>
      <c r="H18">
        <f>COUNTIF(B2:B39, "4B")</f>
        <v>0</v>
      </c>
      <c r="I18">
        <f t="shared" si="0"/>
        <v>0</v>
      </c>
      <c r="P18" t="s">
        <v>11</v>
      </c>
      <c r="Q18">
        <v>0</v>
      </c>
      <c r="R18">
        <f t="shared" si="2"/>
        <v>0</v>
      </c>
      <c r="Y18" s="4" t="s">
        <v>11</v>
      </c>
      <c r="Z18">
        <v>0</v>
      </c>
      <c r="AA18">
        <f t="shared" si="4"/>
        <v>0</v>
      </c>
      <c r="AH18" s="4" t="s">
        <v>11</v>
      </c>
      <c r="AI18">
        <v>0</v>
      </c>
      <c r="AJ18">
        <f t="shared" si="6"/>
        <v>0</v>
      </c>
      <c r="AR18" s="4" t="s">
        <v>11</v>
      </c>
      <c r="AS18" s="4">
        <v>0</v>
      </c>
      <c r="AT18">
        <f t="shared" si="7"/>
        <v>0</v>
      </c>
    </row>
    <row r="19" spans="1:50" x14ac:dyDescent="0.5">
      <c r="A19" s="1">
        <v>18</v>
      </c>
      <c r="B19" s="1" t="s">
        <v>83</v>
      </c>
      <c r="C19" s="1" t="s">
        <v>4</v>
      </c>
      <c r="D19" s="1">
        <v>17.940000000000001</v>
      </c>
      <c r="E19" s="1">
        <v>4.8599999999999997E-2</v>
      </c>
      <c r="G19" t="s">
        <v>53</v>
      </c>
      <c r="H19">
        <f>COUNTIF(B2:B539, "4C")</f>
        <v>0</v>
      </c>
      <c r="I19">
        <f t="shared" si="0"/>
        <v>0</v>
      </c>
      <c r="P19" t="s">
        <v>53</v>
      </c>
      <c r="Q19">
        <v>0</v>
      </c>
      <c r="R19">
        <f t="shared" si="2"/>
        <v>0</v>
      </c>
      <c r="Y19" s="4" t="s">
        <v>53</v>
      </c>
      <c r="Z19">
        <v>0</v>
      </c>
      <c r="AA19">
        <f t="shared" si="4"/>
        <v>0</v>
      </c>
      <c r="AH19" s="4" t="s">
        <v>53</v>
      </c>
      <c r="AI19">
        <v>0</v>
      </c>
      <c r="AJ19">
        <f t="shared" si="6"/>
        <v>0</v>
      </c>
      <c r="AR19" s="4" t="s">
        <v>53</v>
      </c>
      <c r="AS19" s="4">
        <v>0</v>
      </c>
      <c r="AT19">
        <f t="shared" si="7"/>
        <v>0</v>
      </c>
    </row>
    <row r="20" spans="1:50" x14ac:dyDescent="0.5">
      <c r="A20" s="1">
        <v>19</v>
      </c>
      <c r="B20" s="1" t="s">
        <v>83</v>
      </c>
      <c r="C20" s="1" t="s">
        <v>4</v>
      </c>
      <c r="D20" s="1">
        <v>8.8800000000000008</v>
      </c>
      <c r="E20" s="1">
        <v>3.2000000000000002E-3</v>
      </c>
      <c r="G20" t="s">
        <v>7</v>
      </c>
      <c r="H20">
        <f>COUNTIF(B2:B39, "4D")</f>
        <v>0</v>
      </c>
      <c r="I20">
        <f t="shared" si="0"/>
        <v>0</v>
      </c>
      <c r="P20" t="s">
        <v>7</v>
      </c>
      <c r="Q20">
        <v>0</v>
      </c>
      <c r="R20">
        <f t="shared" si="2"/>
        <v>0</v>
      </c>
      <c r="Y20" s="4" t="s">
        <v>7</v>
      </c>
      <c r="Z20">
        <v>0</v>
      </c>
      <c r="AA20">
        <f t="shared" si="4"/>
        <v>0</v>
      </c>
      <c r="AH20" s="4" t="s">
        <v>7</v>
      </c>
      <c r="AI20">
        <v>0</v>
      </c>
      <c r="AJ20">
        <f t="shared" si="6"/>
        <v>0</v>
      </c>
      <c r="AR20" s="4" t="s">
        <v>7</v>
      </c>
      <c r="AS20" s="4">
        <v>0</v>
      </c>
      <c r="AT20">
        <f t="shared" si="7"/>
        <v>0</v>
      </c>
    </row>
    <row r="21" spans="1:50" x14ac:dyDescent="0.5">
      <c r="A21" s="1">
        <v>20</v>
      </c>
      <c r="B21" s="1" t="s">
        <v>83</v>
      </c>
      <c r="C21" s="1" t="s">
        <v>4</v>
      </c>
      <c r="D21" s="1">
        <v>15.25</v>
      </c>
      <c r="E21" s="1">
        <v>2.76E-2</v>
      </c>
      <c r="G21" t="s">
        <v>54</v>
      </c>
      <c r="H21">
        <f>COUNTIF(B2:B39, "4E")</f>
        <v>0</v>
      </c>
      <c r="I21">
        <f t="shared" si="0"/>
        <v>0</v>
      </c>
      <c r="P21" t="s">
        <v>54</v>
      </c>
      <c r="Q21">
        <v>0</v>
      </c>
      <c r="R21">
        <f t="shared" si="2"/>
        <v>0</v>
      </c>
      <c r="Y21" s="4" t="s">
        <v>54</v>
      </c>
      <c r="Z21">
        <v>0</v>
      </c>
      <c r="AA21">
        <f t="shared" si="4"/>
        <v>0</v>
      </c>
      <c r="AH21" s="4" t="s">
        <v>54</v>
      </c>
      <c r="AI21">
        <v>0</v>
      </c>
      <c r="AJ21">
        <f t="shared" si="6"/>
        <v>0</v>
      </c>
      <c r="AR21" s="4" t="s">
        <v>54</v>
      </c>
      <c r="AS21" s="4">
        <v>0</v>
      </c>
      <c r="AT21">
        <f t="shared" si="7"/>
        <v>0</v>
      </c>
    </row>
    <row r="22" spans="1:50" x14ac:dyDescent="0.5">
      <c r="A22" s="1">
        <v>21</v>
      </c>
      <c r="B22" s="1" t="s">
        <v>83</v>
      </c>
      <c r="C22" s="1" t="s">
        <v>4</v>
      </c>
      <c r="D22" s="1">
        <v>10.65</v>
      </c>
      <c r="E22" s="1">
        <v>9.4000000000000004E-3</v>
      </c>
      <c r="G22" t="s">
        <v>18</v>
      </c>
      <c r="H22">
        <f>COUNTIF(B2:B39, "5A")</f>
        <v>1</v>
      </c>
      <c r="I22">
        <f t="shared" si="0"/>
        <v>105.26315789473685</v>
      </c>
      <c r="P22" t="s">
        <v>18</v>
      </c>
      <c r="Q22">
        <v>1</v>
      </c>
      <c r="R22">
        <f t="shared" si="2"/>
        <v>105.26315789473685</v>
      </c>
      <c r="Y22" s="4" t="s">
        <v>18</v>
      </c>
      <c r="Z22">
        <v>1</v>
      </c>
      <c r="AA22">
        <f t="shared" si="4"/>
        <v>105.26315789473685</v>
      </c>
      <c r="AH22" s="4" t="s">
        <v>18</v>
      </c>
      <c r="AI22">
        <v>0</v>
      </c>
      <c r="AJ22">
        <f t="shared" si="6"/>
        <v>0</v>
      </c>
      <c r="AR22" s="4" t="s">
        <v>18</v>
      </c>
      <c r="AS22" s="4">
        <v>0</v>
      </c>
      <c r="AT22">
        <f t="shared" si="7"/>
        <v>0</v>
      </c>
    </row>
    <row r="23" spans="1:50" x14ac:dyDescent="0.5">
      <c r="A23" s="1">
        <v>22</v>
      </c>
      <c r="B23" s="1" t="s">
        <v>83</v>
      </c>
      <c r="C23" s="1" t="s">
        <v>4</v>
      </c>
      <c r="D23" s="1">
        <v>11.01</v>
      </c>
      <c r="E23" s="1">
        <v>8.9999999999999993E-3</v>
      </c>
      <c r="G23" t="s">
        <v>55</v>
      </c>
      <c r="H23">
        <f>COUNTIF(B2:B39, "5B")</f>
        <v>1</v>
      </c>
      <c r="I23">
        <f t="shared" si="0"/>
        <v>105.26315789473685</v>
      </c>
      <c r="P23" t="s">
        <v>55</v>
      </c>
      <c r="Q23">
        <v>1</v>
      </c>
      <c r="R23">
        <f>Q23/$J$1</f>
        <v>105.26315789473685</v>
      </c>
      <c r="Y23" s="4" t="s">
        <v>55</v>
      </c>
      <c r="Z23">
        <v>1</v>
      </c>
      <c r="AA23">
        <f t="shared" si="4"/>
        <v>105.26315789473685</v>
      </c>
      <c r="AH23" s="4" t="s">
        <v>55</v>
      </c>
      <c r="AI23">
        <v>0</v>
      </c>
      <c r="AJ23">
        <f t="shared" si="6"/>
        <v>0</v>
      </c>
      <c r="AR23" s="4" t="s">
        <v>55</v>
      </c>
      <c r="AS23" s="4">
        <v>0</v>
      </c>
      <c r="AT23">
        <f t="shared" si="7"/>
        <v>0</v>
      </c>
    </row>
    <row r="24" spans="1:50" x14ac:dyDescent="0.5">
      <c r="A24" s="1">
        <v>23</v>
      </c>
      <c r="B24" s="1" t="s">
        <v>84</v>
      </c>
      <c r="C24" s="1" t="s">
        <v>4</v>
      </c>
      <c r="D24" s="1">
        <v>10.210000000000001</v>
      </c>
      <c r="E24" s="1">
        <v>8.2000000000000007E-3</v>
      </c>
      <c r="G24" t="s">
        <v>20</v>
      </c>
      <c r="H24">
        <f>COUNTIF(B2:B39, "5C")</f>
        <v>2</v>
      </c>
      <c r="I24">
        <f t="shared" si="0"/>
        <v>210.5263157894737</v>
      </c>
      <c r="P24" t="s">
        <v>20</v>
      </c>
      <c r="Q24">
        <v>2</v>
      </c>
      <c r="R24">
        <f t="shared" si="2"/>
        <v>210.5263157894737</v>
      </c>
      <c r="Y24" s="4" t="s">
        <v>20</v>
      </c>
      <c r="Z24">
        <v>2</v>
      </c>
      <c r="AA24">
        <f t="shared" si="4"/>
        <v>210.5263157894737</v>
      </c>
      <c r="AH24" s="4" t="s">
        <v>20</v>
      </c>
      <c r="AI24">
        <v>0</v>
      </c>
      <c r="AJ24">
        <f t="shared" si="6"/>
        <v>0</v>
      </c>
      <c r="AR24" s="4" t="s">
        <v>20</v>
      </c>
      <c r="AS24" s="4">
        <v>0</v>
      </c>
      <c r="AT24">
        <f t="shared" si="7"/>
        <v>0</v>
      </c>
    </row>
    <row r="25" spans="1:50" x14ac:dyDescent="0.5">
      <c r="A25" s="1">
        <v>24</v>
      </c>
      <c r="B25" s="1" t="s">
        <v>46</v>
      </c>
      <c r="C25" s="1" t="s">
        <v>4</v>
      </c>
      <c r="D25" s="1">
        <v>6.85</v>
      </c>
      <c r="E25" s="1">
        <v>1.1000000000000001E-3</v>
      </c>
      <c r="G25" t="s">
        <v>56</v>
      </c>
      <c r="H25">
        <f>COUNTIF(B2:B39, "5D")</f>
        <v>4</v>
      </c>
      <c r="I25">
        <f t="shared" si="0"/>
        <v>421.0526315789474</v>
      </c>
      <c r="P25" t="s">
        <v>56</v>
      </c>
      <c r="Q25">
        <v>4</v>
      </c>
      <c r="R25">
        <f t="shared" si="2"/>
        <v>421.0526315789474</v>
      </c>
      <c r="Y25" s="4" t="s">
        <v>56</v>
      </c>
      <c r="Z25">
        <v>4</v>
      </c>
      <c r="AA25">
        <f t="shared" si="4"/>
        <v>421.0526315789474</v>
      </c>
      <c r="AH25" s="4" t="s">
        <v>56</v>
      </c>
      <c r="AI25">
        <v>0</v>
      </c>
      <c r="AJ25">
        <f t="shared" si="6"/>
        <v>0</v>
      </c>
      <c r="AR25" s="4" t="s">
        <v>56</v>
      </c>
      <c r="AS25" s="4">
        <v>0</v>
      </c>
      <c r="AT25">
        <f t="shared" si="7"/>
        <v>0</v>
      </c>
    </row>
    <row r="26" spans="1:50" x14ac:dyDescent="0.5">
      <c r="A26" s="1">
        <v>25</v>
      </c>
      <c r="B26" s="1" t="s">
        <v>85</v>
      </c>
      <c r="C26" s="1" t="s">
        <v>4</v>
      </c>
      <c r="D26" s="1">
        <v>9.8800000000000008</v>
      </c>
      <c r="E26" s="3">
        <v>6.0000000000000001E-3</v>
      </c>
      <c r="G26" t="s">
        <v>57</v>
      </c>
      <c r="H26">
        <f>COUNTIF(B2:B39, "5E")</f>
        <v>1</v>
      </c>
      <c r="I26">
        <f t="shared" si="0"/>
        <v>105.26315789473685</v>
      </c>
      <c r="P26" t="s">
        <v>57</v>
      </c>
      <c r="Q26">
        <v>0</v>
      </c>
      <c r="R26">
        <f t="shared" si="2"/>
        <v>0</v>
      </c>
      <c r="Y26" s="4" t="s">
        <v>57</v>
      </c>
      <c r="Z26">
        <v>0</v>
      </c>
      <c r="AA26">
        <f t="shared" si="4"/>
        <v>0</v>
      </c>
      <c r="AH26" s="4" t="s">
        <v>57</v>
      </c>
      <c r="AI26">
        <v>0</v>
      </c>
      <c r="AJ26">
        <f t="shared" si="6"/>
        <v>0</v>
      </c>
      <c r="AR26" s="4" t="s">
        <v>57</v>
      </c>
      <c r="AS26" s="4">
        <v>1</v>
      </c>
      <c r="AT26">
        <f t="shared" si="7"/>
        <v>105.26315789473685</v>
      </c>
    </row>
    <row r="27" spans="1:50" x14ac:dyDescent="0.5">
      <c r="A27" s="1">
        <v>26</v>
      </c>
      <c r="B27" s="1" t="s">
        <v>86</v>
      </c>
      <c r="C27" s="1" t="s">
        <v>4</v>
      </c>
      <c r="D27" s="1">
        <v>10.72</v>
      </c>
      <c r="E27" s="1">
        <v>9.5999999999999992E-3</v>
      </c>
      <c r="G27" t="s">
        <v>31</v>
      </c>
      <c r="H27">
        <f>COUNTIF(B2:B39, "6A")</f>
        <v>0</v>
      </c>
      <c r="I27">
        <f t="shared" si="0"/>
        <v>0</v>
      </c>
      <c r="P27" t="s">
        <v>31</v>
      </c>
      <c r="Q27">
        <v>0</v>
      </c>
      <c r="R27">
        <f t="shared" si="2"/>
        <v>0</v>
      </c>
      <c r="Y27" s="4" t="s">
        <v>31</v>
      </c>
      <c r="Z27">
        <v>0</v>
      </c>
      <c r="AA27">
        <f t="shared" si="4"/>
        <v>0</v>
      </c>
      <c r="AH27" s="4" t="s">
        <v>31</v>
      </c>
      <c r="AI27">
        <v>0</v>
      </c>
      <c r="AJ27">
        <f t="shared" si="6"/>
        <v>0</v>
      </c>
      <c r="AR27" s="4" t="s">
        <v>31</v>
      </c>
      <c r="AS27" s="4">
        <v>0</v>
      </c>
      <c r="AT27">
        <f t="shared" si="7"/>
        <v>0</v>
      </c>
    </row>
    <row r="28" spans="1:50" x14ac:dyDescent="0.5">
      <c r="A28" s="1">
        <v>27</v>
      </c>
      <c r="B28" s="1" t="s">
        <v>87</v>
      </c>
      <c r="C28" s="1" t="s">
        <v>4</v>
      </c>
      <c r="D28" s="1">
        <v>7.75</v>
      </c>
      <c r="E28" s="1">
        <v>2.3999999999999998E-3</v>
      </c>
      <c r="G28" t="s">
        <v>32</v>
      </c>
      <c r="H28">
        <f>COUNTIF(B2:B39, "6B")</f>
        <v>0</v>
      </c>
      <c r="I28">
        <f t="shared" si="0"/>
        <v>0</v>
      </c>
      <c r="P28" t="s">
        <v>32</v>
      </c>
      <c r="Q28">
        <v>0</v>
      </c>
      <c r="R28">
        <f t="shared" si="2"/>
        <v>0</v>
      </c>
      <c r="Y28" s="4" t="s">
        <v>32</v>
      </c>
      <c r="Z28">
        <v>0</v>
      </c>
      <c r="AA28">
        <f t="shared" si="4"/>
        <v>0</v>
      </c>
      <c r="AH28" s="4" t="s">
        <v>32</v>
      </c>
      <c r="AI28">
        <v>0</v>
      </c>
      <c r="AJ28">
        <f t="shared" si="6"/>
        <v>0</v>
      </c>
      <c r="AR28" s="4" t="s">
        <v>32</v>
      </c>
      <c r="AS28" s="4">
        <v>0</v>
      </c>
      <c r="AT28">
        <f t="shared" si="7"/>
        <v>0</v>
      </c>
    </row>
    <row r="29" spans="1:50" x14ac:dyDescent="0.5">
      <c r="A29" s="1">
        <v>28</v>
      </c>
      <c r="B29" s="1" t="s">
        <v>87</v>
      </c>
      <c r="C29" s="1" t="s">
        <v>4</v>
      </c>
      <c r="D29" s="1">
        <v>6.92</v>
      </c>
      <c r="E29" s="1">
        <v>1E-3</v>
      </c>
      <c r="G29" t="s">
        <v>33</v>
      </c>
      <c r="H29">
        <f>COUNTIF(B2:B39, "6C")</f>
        <v>2</v>
      </c>
      <c r="I29">
        <f t="shared" si="0"/>
        <v>210.5263157894737</v>
      </c>
      <c r="P29" t="s">
        <v>33</v>
      </c>
      <c r="Q29">
        <v>1</v>
      </c>
      <c r="R29">
        <f t="shared" si="2"/>
        <v>105.26315789473685</v>
      </c>
      <c r="Y29" s="4" t="s">
        <v>33</v>
      </c>
      <c r="Z29">
        <v>1</v>
      </c>
      <c r="AA29">
        <f t="shared" si="4"/>
        <v>105.26315789473685</v>
      </c>
      <c r="AH29" s="4" t="s">
        <v>33</v>
      </c>
      <c r="AI29">
        <v>0</v>
      </c>
      <c r="AJ29">
        <f t="shared" si="6"/>
        <v>0</v>
      </c>
      <c r="AR29" s="4" t="s">
        <v>33</v>
      </c>
      <c r="AS29" s="4">
        <v>0</v>
      </c>
      <c r="AT29">
        <f t="shared" si="7"/>
        <v>0</v>
      </c>
    </row>
    <row r="30" spans="1:50" x14ac:dyDescent="0.5">
      <c r="A30" s="1"/>
      <c r="B30" s="1"/>
      <c r="C30" s="1"/>
      <c r="D30" s="1"/>
      <c r="E30" s="1"/>
      <c r="G30" t="s">
        <v>58</v>
      </c>
      <c r="H30">
        <f>COUNTIF(B2:B39, "6D")</f>
        <v>1</v>
      </c>
      <c r="I30">
        <f t="shared" si="0"/>
        <v>105.26315789473685</v>
      </c>
      <c r="P30" t="s">
        <v>58</v>
      </c>
      <c r="Q30">
        <v>0</v>
      </c>
      <c r="R30">
        <f t="shared" si="2"/>
        <v>0</v>
      </c>
      <c r="Y30" s="4" t="s">
        <v>58</v>
      </c>
      <c r="Z30">
        <v>0</v>
      </c>
      <c r="AA30">
        <f t="shared" si="4"/>
        <v>0</v>
      </c>
      <c r="AH30" s="4" t="s">
        <v>58</v>
      </c>
      <c r="AI30">
        <v>0</v>
      </c>
      <c r="AJ30">
        <f t="shared" si="6"/>
        <v>0</v>
      </c>
      <c r="AR30" s="4" t="s">
        <v>58</v>
      </c>
      <c r="AS30" s="4">
        <v>1</v>
      </c>
      <c r="AT30">
        <f t="shared" si="7"/>
        <v>105.26315789473685</v>
      </c>
    </row>
    <row r="31" spans="1:50" x14ac:dyDescent="0.5">
      <c r="A31" s="1"/>
      <c r="B31" s="1"/>
      <c r="C31" s="1"/>
      <c r="D31" s="1"/>
      <c r="E31" s="1"/>
      <c r="G31" t="s">
        <v>59</v>
      </c>
      <c r="H31">
        <f>COUNTIF(B2:B39, "6E")</f>
        <v>1</v>
      </c>
      <c r="I31">
        <f t="shared" si="0"/>
        <v>105.26315789473685</v>
      </c>
      <c r="P31" t="s">
        <v>59</v>
      </c>
      <c r="Q31">
        <v>0</v>
      </c>
      <c r="R31">
        <f t="shared" si="2"/>
        <v>0</v>
      </c>
      <c r="Y31" s="4" t="s">
        <v>59</v>
      </c>
      <c r="Z31">
        <v>0</v>
      </c>
      <c r="AA31">
        <f t="shared" si="4"/>
        <v>0</v>
      </c>
      <c r="AH31" s="4" t="s">
        <v>59</v>
      </c>
      <c r="AI31">
        <v>0</v>
      </c>
      <c r="AJ31">
        <f t="shared" si="6"/>
        <v>0</v>
      </c>
      <c r="AR31" s="4" t="s">
        <v>59</v>
      </c>
      <c r="AS31" s="4">
        <v>1</v>
      </c>
      <c r="AT31">
        <f t="shared" si="7"/>
        <v>105.26315789473685</v>
      </c>
    </row>
    <row r="32" spans="1:50" x14ac:dyDescent="0.5">
      <c r="A32" s="1"/>
      <c r="B32" s="1"/>
      <c r="C32" s="1"/>
      <c r="D32" s="1"/>
      <c r="E32" s="1"/>
      <c r="G32" t="s">
        <v>25</v>
      </c>
      <c r="H32">
        <f>COUNTIF(B2:B39, "7A")</f>
        <v>0</v>
      </c>
      <c r="I32">
        <f t="shared" si="0"/>
        <v>0</v>
      </c>
      <c r="P32" t="s">
        <v>25</v>
      </c>
      <c r="Q32">
        <v>0</v>
      </c>
      <c r="R32">
        <f t="shared" si="2"/>
        <v>0</v>
      </c>
      <c r="Y32" s="4" t="s">
        <v>25</v>
      </c>
      <c r="Z32">
        <v>0</v>
      </c>
      <c r="AA32">
        <f>Z32/$J$1</f>
        <v>0</v>
      </c>
      <c r="AH32" s="4" t="s">
        <v>25</v>
      </c>
      <c r="AI32">
        <v>0</v>
      </c>
      <c r="AJ32">
        <f t="shared" si="6"/>
        <v>0</v>
      </c>
      <c r="AR32" s="4" t="s">
        <v>25</v>
      </c>
      <c r="AS32" s="4">
        <v>0</v>
      </c>
      <c r="AT32">
        <f t="shared" si="7"/>
        <v>0</v>
      </c>
    </row>
    <row r="33" spans="1:46" x14ac:dyDescent="0.5">
      <c r="A33" s="1"/>
      <c r="B33" s="10" t="s">
        <v>89</v>
      </c>
      <c r="C33" s="10"/>
      <c r="D33" s="1"/>
      <c r="E33" s="1"/>
      <c r="G33" t="s">
        <v>26</v>
      </c>
      <c r="H33">
        <f>COUNTIF(B2:B39, "7B")</f>
        <v>0</v>
      </c>
      <c r="I33">
        <f t="shared" si="0"/>
        <v>0</v>
      </c>
      <c r="P33" t="s">
        <v>26</v>
      </c>
      <c r="Q33">
        <v>0</v>
      </c>
      <c r="R33">
        <f t="shared" si="2"/>
        <v>0</v>
      </c>
      <c r="Y33" s="4" t="s">
        <v>26</v>
      </c>
      <c r="Z33">
        <v>0</v>
      </c>
      <c r="AA33">
        <f t="shared" si="4"/>
        <v>0</v>
      </c>
      <c r="AH33" s="4" t="s">
        <v>26</v>
      </c>
      <c r="AI33">
        <v>0</v>
      </c>
      <c r="AJ33">
        <f t="shared" si="6"/>
        <v>0</v>
      </c>
      <c r="AR33" s="4" t="s">
        <v>26</v>
      </c>
      <c r="AS33" s="4">
        <v>0</v>
      </c>
      <c r="AT33">
        <f>AS33/$J$1</f>
        <v>0</v>
      </c>
    </row>
    <row r="34" spans="1:46" x14ac:dyDescent="0.5">
      <c r="A34" s="1">
        <v>68</v>
      </c>
      <c r="B34" s="1" t="s">
        <v>90</v>
      </c>
      <c r="C34" s="1" t="s">
        <v>88</v>
      </c>
      <c r="D34" s="1"/>
      <c r="E34" s="1">
        <v>2.0999999999999999E-3</v>
      </c>
      <c r="G34" t="s">
        <v>27</v>
      </c>
      <c r="H34">
        <f>COUNTIF(B2:B39, "7C")</f>
        <v>0</v>
      </c>
      <c r="I34">
        <f t="shared" si="0"/>
        <v>0</v>
      </c>
      <c r="P34" t="s">
        <v>27</v>
      </c>
      <c r="Q34">
        <v>0</v>
      </c>
      <c r="R34">
        <f t="shared" si="2"/>
        <v>0</v>
      </c>
      <c r="Y34" s="4" t="s">
        <v>27</v>
      </c>
      <c r="Z34">
        <v>0</v>
      </c>
      <c r="AA34">
        <f t="shared" si="4"/>
        <v>0</v>
      </c>
      <c r="AH34" s="4" t="s">
        <v>27</v>
      </c>
      <c r="AI34">
        <v>0</v>
      </c>
      <c r="AJ34">
        <f>AI34/$J$1</f>
        <v>0</v>
      </c>
      <c r="AR34" s="4" t="s">
        <v>27</v>
      </c>
      <c r="AS34" s="4">
        <v>0</v>
      </c>
      <c r="AT34">
        <f t="shared" si="7"/>
        <v>0</v>
      </c>
    </row>
    <row r="35" spans="1:46" x14ac:dyDescent="0.5">
      <c r="A35" s="1">
        <v>67</v>
      </c>
      <c r="B35" s="1" t="s">
        <v>82</v>
      </c>
      <c r="C35" s="1" t="s">
        <v>88</v>
      </c>
      <c r="D35" s="1"/>
      <c r="E35" s="1">
        <v>5.4999999999999997E-3</v>
      </c>
      <c r="G35" t="s">
        <v>60</v>
      </c>
      <c r="H35">
        <v>1</v>
      </c>
      <c r="I35">
        <f t="shared" si="0"/>
        <v>105.26315789473685</v>
      </c>
      <c r="P35" t="s">
        <v>60</v>
      </c>
      <c r="Q35">
        <v>0</v>
      </c>
      <c r="R35">
        <f t="shared" si="2"/>
        <v>0</v>
      </c>
      <c r="Y35" s="4" t="s">
        <v>60</v>
      </c>
      <c r="Z35">
        <v>0</v>
      </c>
      <c r="AA35">
        <f t="shared" si="4"/>
        <v>0</v>
      </c>
      <c r="AH35" s="4" t="s">
        <v>60</v>
      </c>
      <c r="AI35">
        <v>0</v>
      </c>
      <c r="AJ35">
        <f t="shared" si="6"/>
        <v>0</v>
      </c>
      <c r="AR35" s="4" t="s">
        <v>60</v>
      </c>
      <c r="AS35" s="4">
        <v>1</v>
      </c>
      <c r="AT35">
        <f t="shared" si="7"/>
        <v>105.26315789473685</v>
      </c>
    </row>
    <row r="36" spans="1:46" x14ac:dyDescent="0.5">
      <c r="A36" s="1">
        <v>70</v>
      </c>
      <c r="B36" s="1" t="s">
        <v>43</v>
      </c>
      <c r="C36" s="1" t="s">
        <v>38</v>
      </c>
      <c r="D36" s="1"/>
      <c r="E36" s="1">
        <v>-4.4000000000000003E-3</v>
      </c>
      <c r="G36" t="s">
        <v>28</v>
      </c>
      <c r="H36">
        <f>COUNTIF(B2:B39, "7E")</f>
        <v>0</v>
      </c>
      <c r="I36">
        <f t="shared" si="0"/>
        <v>0</v>
      </c>
      <c r="P36" t="s">
        <v>28</v>
      </c>
      <c r="Q36">
        <v>0</v>
      </c>
      <c r="R36">
        <f t="shared" si="2"/>
        <v>0</v>
      </c>
      <c r="Y36" s="4" t="s">
        <v>28</v>
      </c>
      <c r="Z36">
        <v>0</v>
      </c>
      <c r="AA36">
        <f t="shared" si="4"/>
        <v>0</v>
      </c>
      <c r="AH36" s="4" t="s">
        <v>28</v>
      </c>
      <c r="AI36">
        <v>0</v>
      </c>
      <c r="AJ36">
        <f t="shared" si="6"/>
        <v>0</v>
      </c>
      <c r="AR36" s="4" t="s">
        <v>28</v>
      </c>
      <c r="AS36" s="4">
        <v>0</v>
      </c>
      <c r="AT36">
        <f t="shared" si="7"/>
        <v>0</v>
      </c>
    </row>
    <row r="37" spans="1:46" x14ac:dyDescent="0.5">
      <c r="A37" s="1">
        <v>71</v>
      </c>
      <c r="B37" s="1" t="s">
        <v>91</v>
      </c>
      <c r="C37" s="1" t="s">
        <v>88</v>
      </c>
      <c r="D37" s="1"/>
      <c r="E37" s="1">
        <v>-3.2000000000000002E-3</v>
      </c>
      <c r="G37" t="s">
        <v>61</v>
      </c>
      <c r="H37">
        <f>COUNTIF(B2:B39, "8A")</f>
        <v>0</v>
      </c>
      <c r="I37">
        <f t="shared" si="0"/>
        <v>0</v>
      </c>
      <c r="P37" t="s">
        <v>61</v>
      </c>
      <c r="Q37">
        <v>0</v>
      </c>
      <c r="R37">
        <f t="shared" si="2"/>
        <v>0</v>
      </c>
      <c r="Y37" s="4" t="s">
        <v>61</v>
      </c>
      <c r="Z37">
        <v>0</v>
      </c>
      <c r="AA37">
        <f t="shared" si="4"/>
        <v>0</v>
      </c>
      <c r="AH37" s="4" t="s">
        <v>61</v>
      </c>
      <c r="AI37">
        <v>0</v>
      </c>
      <c r="AJ37">
        <f t="shared" si="6"/>
        <v>0</v>
      </c>
      <c r="AR37" s="4" t="s">
        <v>61</v>
      </c>
      <c r="AS37" s="4">
        <v>0</v>
      </c>
      <c r="AT37">
        <f t="shared" si="7"/>
        <v>0</v>
      </c>
    </row>
    <row r="38" spans="1:46" x14ac:dyDescent="0.5">
      <c r="A38" s="1">
        <v>69</v>
      </c>
      <c r="B38" s="1" t="s">
        <v>92</v>
      </c>
      <c r="C38" s="1" t="s">
        <v>38</v>
      </c>
      <c r="D38" s="1"/>
      <c r="E38" s="1"/>
      <c r="G38" t="s">
        <v>29</v>
      </c>
      <c r="H38">
        <f>COUNTIF(B2:B39, "8B")</f>
        <v>0</v>
      </c>
      <c r="I38">
        <f t="shared" si="0"/>
        <v>0</v>
      </c>
      <c r="P38" t="s">
        <v>29</v>
      </c>
      <c r="Q38">
        <v>0</v>
      </c>
      <c r="R38">
        <f t="shared" si="2"/>
        <v>0</v>
      </c>
      <c r="Y38" s="4" t="s">
        <v>29</v>
      </c>
      <c r="Z38">
        <v>0</v>
      </c>
      <c r="AA38">
        <f t="shared" si="4"/>
        <v>0</v>
      </c>
      <c r="AH38" s="4" t="s">
        <v>29</v>
      </c>
      <c r="AI38">
        <v>0</v>
      </c>
      <c r="AJ38">
        <f t="shared" si="6"/>
        <v>0</v>
      </c>
      <c r="AR38" s="4" t="s">
        <v>29</v>
      </c>
      <c r="AS38" s="4">
        <v>0</v>
      </c>
      <c r="AT38">
        <f t="shared" si="7"/>
        <v>0</v>
      </c>
    </row>
    <row r="39" spans="1:46" x14ac:dyDescent="0.5">
      <c r="A39" s="1">
        <v>85</v>
      </c>
      <c r="B39" s="1" t="s">
        <v>71</v>
      </c>
      <c r="C39" s="1" t="s">
        <v>41</v>
      </c>
      <c r="D39" s="1">
        <v>14.22</v>
      </c>
      <c r="E39" s="1">
        <v>-1.8E-3</v>
      </c>
      <c r="G39" t="s">
        <v>30</v>
      </c>
      <c r="H39">
        <f>COUNTIF(B2:B39, "8C")</f>
        <v>0</v>
      </c>
      <c r="I39">
        <f t="shared" si="0"/>
        <v>0</v>
      </c>
      <c r="P39" t="s">
        <v>30</v>
      </c>
      <c r="Q39">
        <v>0</v>
      </c>
      <c r="R39">
        <f t="shared" si="2"/>
        <v>0</v>
      </c>
      <c r="Y39" s="4" t="s">
        <v>30</v>
      </c>
      <c r="Z39">
        <v>0</v>
      </c>
      <c r="AA39">
        <f t="shared" si="4"/>
        <v>0</v>
      </c>
      <c r="AH39" s="4" t="s">
        <v>30</v>
      </c>
      <c r="AI39">
        <v>0</v>
      </c>
      <c r="AJ39">
        <f t="shared" si="6"/>
        <v>0</v>
      </c>
      <c r="AR39" s="4" t="s">
        <v>30</v>
      </c>
      <c r="AS39" s="4">
        <v>0</v>
      </c>
      <c r="AT39">
        <f t="shared" si="7"/>
        <v>0</v>
      </c>
    </row>
    <row r="40" spans="1:46" x14ac:dyDescent="0.5">
      <c r="A40" s="11"/>
      <c r="B40" s="11"/>
      <c r="C40" s="11"/>
      <c r="D40" s="11"/>
      <c r="E40" s="1"/>
      <c r="G40" t="s">
        <v>62</v>
      </c>
      <c r="H40">
        <f>COUNTIF(B2:B39, "8D")</f>
        <v>0</v>
      </c>
      <c r="I40">
        <f t="shared" si="0"/>
        <v>0</v>
      </c>
      <c r="P40" t="s">
        <v>62</v>
      </c>
      <c r="Q40">
        <v>0</v>
      </c>
      <c r="R40">
        <f t="shared" si="2"/>
        <v>0</v>
      </c>
      <c r="Y40" s="4" t="s">
        <v>62</v>
      </c>
      <c r="Z40">
        <v>0</v>
      </c>
      <c r="AA40">
        <f t="shared" si="4"/>
        <v>0</v>
      </c>
      <c r="AH40" s="4" t="s">
        <v>62</v>
      </c>
      <c r="AI40">
        <v>0</v>
      </c>
      <c r="AJ40">
        <f t="shared" si="6"/>
        <v>0</v>
      </c>
      <c r="AR40" s="4" t="s">
        <v>62</v>
      </c>
      <c r="AS40" s="4">
        <v>0</v>
      </c>
      <c r="AT40">
        <f t="shared" si="7"/>
        <v>0</v>
      </c>
    </row>
    <row r="41" spans="1:46" x14ac:dyDescent="0.5">
      <c r="G41" t="s">
        <v>63</v>
      </c>
      <c r="H41">
        <f>COUNTIF(B2:B39, "8E")</f>
        <v>0</v>
      </c>
      <c r="I41">
        <f t="shared" si="0"/>
        <v>0</v>
      </c>
      <c r="P41" t="s">
        <v>63</v>
      </c>
      <c r="Q41">
        <v>0</v>
      </c>
      <c r="R41">
        <f t="shared" si="2"/>
        <v>0</v>
      </c>
      <c r="Y41" s="4" t="s">
        <v>63</v>
      </c>
      <c r="Z41">
        <v>0</v>
      </c>
      <c r="AA41">
        <f t="shared" si="4"/>
        <v>0</v>
      </c>
      <c r="AH41" s="4" t="s">
        <v>63</v>
      </c>
      <c r="AI41">
        <v>0</v>
      </c>
      <c r="AJ41">
        <f t="shared" si="6"/>
        <v>0</v>
      </c>
      <c r="AR41" s="4" t="s">
        <v>63</v>
      </c>
      <c r="AS41" s="4">
        <v>0</v>
      </c>
      <c r="AT41">
        <f t="shared" si="7"/>
        <v>0</v>
      </c>
    </row>
    <row r="42" spans="1:46" x14ac:dyDescent="0.5">
      <c r="G42" t="s">
        <v>64</v>
      </c>
      <c r="H42">
        <f>COUNTIF(B2:B39, "9A")</f>
        <v>0</v>
      </c>
      <c r="I42">
        <f t="shared" si="0"/>
        <v>0</v>
      </c>
      <c r="P42" t="s">
        <v>64</v>
      </c>
      <c r="Q42">
        <v>0</v>
      </c>
      <c r="R42">
        <f t="shared" si="2"/>
        <v>0</v>
      </c>
      <c r="Y42" s="4" t="s">
        <v>64</v>
      </c>
      <c r="Z42">
        <v>0</v>
      </c>
      <c r="AA42">
        <f t="shared" si="4"/>
        <v>0</v>
      </c>
      <c r="AH42" s="4" t="s">
        <v>64</v>
      </c>
      <c r="AI42">
        <v>0</v>
      </c>
      <c r="AJ42">
        <f t="shared" si="6"/>
        <v>0</v>
      </c>
      <c r="AR42" s="4" t="s">
        <v>64</v>
      </c>
      <c r="AS42" s="4">
        <v>0</v>
      </c>
      <c r="AT42">
        <f t="shared" si="7"/>
        <v>0</v>
      </c>
    </row>
    <row r="43" spans="1:46" x14ac:dyDescent="0.5">
      <c r="G43" t="s">
        <v>65</v>
      </c>
      <c r="H43">
        <f>COUNTIF(B2:B39, "9B")</f>
        <v>0</v>
      </c>
      <c r="I43">
        <f t="shared" si="0"/>
        <v>0</v>
      </c>
      <c r="P43" t="s">
        <v>65</v>
      </c>
      <c r="Q43">
        <v>0</v>
      </c>
      <c r="R43">
        <f t="shared" si="2"/>
        <v>0</v>
      </c>
      <c r="Y43" s="4" t="s">
        <v>65</v>
      </c>
      <c r="Z43">
        <v>0</v>
      </c>
      <c r="AA43">
        <f>Z43/$J$1</f>
        <v>0</v>
      </c>
      <c r="AH43" s="4" t="s">
        <v>65</v>
      </c>
      <c r="AI43">
        <v>0</v>
      </c>
      <c r="AJ43">
        <f t="shared" si="6"/>
        <v>0</v>
      </c>
      <c r="AR43" s="4" t="s">
        <v>65</v>
      </c>
      <c r="AS43" s="4">
        <v>0</v>
      </c>
      <c r="AT43">
        <f t="shared" si="7"/>
        <v>0</v>
      </c>
    </row>
    <row r="44" spans="1:46" x14ac:dyDescent="0.5">
      <c r="G44" t="s">
        <v>66</v>
      </c>
      <c r="H44">
        <f>COUNTIF(B2:B39, "9C")</f>
        <v>1</v>
      </c>
      <c r="I44">
        <f t="shared" si="0"/>
        <v>105.26315789473685</v>
      </c>
      <c r="P44" t="s">
        <v>66</v>
      </c>
      <c r="Q44">
        <v>1</v>
      </c>
      <c r="R44">
        <f>Q44/$J$1</f>
        <v>105.26315789473685</v>
      </c>
      <c r="Y44" s="4" t="s">
        <v>66</v>
      </c>
      <c r="Z44">
        <v>0</v>
      </c>
      <c r="AA44">
        <f t="shared" si="4"/>
        <v>0</v>
      </c>
      <c r="AH44" s="4" t="s">
        <v>66</v>
      </c>
      <c r="AI44">
        <v>1</v>
      </c>
      <c r="AJ44">
        <f t="shared" si="6"/>
        <v>105.26315789473685</v>
      </c>
      <c r="AR44" s="4" t="s">
        <v>66</v>
      </c>
      <c r="AS44" s="4">
        <v>0</v>
      </c>
      <c r="AT44">
        <f t="shared" si="7"/>
        <v>0</v>
      </c>
    </row>
    <row r="45" spans="1:46" x14ac:dyDescent="0.5">
      <c r="G45" t="s">
        <v>67</v>
      </c>
      <c r="H45">
        <f>COUNTIF(B2:B39, "9D")</f>
        <v>0</v>
      </c>
      <c r="I45">
        <f t="shared" si="0"/>
        <v>0</v>
      </c>
      <c r="P45" t="s">
        <v>67</v>
      </c>
      <c r="Q45">
        <v>0</v>
      </c>
      <c r="R45">
        <f t="shared" si="2"/>
        <v>0</v>
      </c>
      <c r="Y45" s="4" t="s">
        <v>67</v>
      </c>
      <c r="Z45">
        <v>0</v>
      </c>
      <c r="AA45">
        <f t="shared" si="4"/>
        <v>0</v>
      </c>
      <c r="AH45" s="4" t="s">
        <v>67</v>
      </c>
      <c r="AI45">
        <v>0</v>
      </c>
      <c r="AJ45">
        <f t="shared" si="6"/>
        <v>0</v>
      </c>
      <c r="AR45" s="4" t="s">
        <v>67</v>
      </c>
      <c r="AS45" s="4">
        <v>0</v>
      </c>
      <c r="AT45">
        <f t="shared" si="7"/>
        <v>0</v>
      </c>
    </row>
    <row r="46" spans="1:46" x14ac:dyDescent="0.5">
      <c r="G46" t="s">
        <v>68</v>
      </c>
      <c r="H46">
        <f>COUNTIF(B2:B39, "9E")</f>
        <v>0</v>
      </c>
      <c r="I46">
        <f t="shared" si="0"/>
        <v>0</v>
      </c>
      <c r="P46" t="s">
        <v>68</v>
      </c>
      <c r="Q46">
        <v>0</v>
      </c>
      <c r="R46">
        <f t="shared" si="2"/>
        <v>0</v>
      </c>
      <c r="Y46" s="4" t="s">
        <v>68</v>
      </c>
      <c r="Z46">
        <v>0</v>
      </c>
      <c r="AA46">
        <f t="shared" si="4"/>
        <v>0</v>
      </c>
      <c r="AH46" s="4" t="s">
        <v>68</v>
      </c>
      <c r="AI46">
        <v>0</v>
      </c>
      <c r="AJ46">
        <f t="shared" si="6"/>
        <v>0</v>
      </c>
      <c r="AR46" s="4" t="s">
        <v>68</v>
      </c>
      <c r="AS46" s="4">
        <v>0</v>
      </c>
      <c r="AT46">
        <f t="shared" si="7"/>
        <v>0</v>
      </c>
    </row>
    <row r="47" spans="1:46" x14ac:dyDescent="0.5">
      <c r="G47" t="s">
        <v>21</v>
      </c>
      <c r="H47">
        <f>COUNTIF(B2:B39, "10A")</f>
        <v>0</v>
      </c>
      <c r="I47">
        <f t="shared" si="0"/>
        <v>0</v>
      </c>
      <c r="P47" t="s">
        <v>21</v>
      </c>
      <c r="Q47">
        <v>0</v>
      </c>
      <c r="R47">
        <f t="shared" si="2"/>
        <v>0</v>
      </c>
      <c r="Y47" s="4" t="s">
        <v>21</v>
      </c>
      <c r="Z47">
        <v>0</v>
      </c>
      <c r="AA47">
        <f t="shared" si="4"/>
        <v>0</v>
      </c>
      <c r="AH47" s="4" t="s">
        <v>21</v>
      </c>
      <c r="AI47">
        <v>0</v>
      </c>
      <c r="AJ47">
        <f t="shared" si="6"/>
        <v>0</v>
      </c>
      <c r="AR47" s="4" t="s">
        <v>21</v>
      </c>
      <c r="AS47" s="4">
        <v>0</v>
      </c>
      <c r="AT47">
        <f>AS47/$J$1</f>
        <v>0</v>
      </c>
    </row>
    <row r="48" spans="1:46" x14ac:dyDescent="0.5">
      <c r="G48" t="s">
        <v>22</v>
      </c>
      <c r="H48">
        <f>COUNTIF(B2:B39, "10B")</f>
        <v>0</v>
      </c>
      <c r="I48">
        <f t="shared" si="0"/>
        <v>0</v>
      </c>
      <c r="P48" t="s">
        <v>22</v>
      </c>
      <c r="Q48">
        <v>0</v>
      </c>
      <c r="R48">
        <f t="shared" si="2"/>
        <v>0</v>
      </c>
      <c r="Y48" s="4" t="s">
        <v>22</v>
      </c>
      <c r="Z48">
        <v>0</v>
      </c>
      <c r="AA48">
        <f t="shared" si="4"/>
        <v>0</v>
      </c>
      <c r="AH48" s="4" t="s">
        <v>22</v>
      </c>
      <c r="AI48">
        <v>0</v>
      </c>
      <c r="AJ48">
        <f t="shared" si="6"/>
        <v>0</v>
      </c>
      <c r="AR48" s="4" t="s">
        <v>22</v>
      </c>
      <c r="AS48" s="4">
        <v>0</v>
      </c>
      <c r="AT48">
        <f t="shared" si="7"/>
        <v>0</v>
      </c>
    </row>
    <row r="49" spans="7:46" x14ac:dyDescent="0.5">
      <c r="G49" t="s">
        <v>23</v>
      </c>
      <c r="H49">
        <f>COUNTIF(B2:B39, "10C")</f>
        <v>0</v>
      </c>
      <c r="I49">
        <f t="shared" si="0"/>
        <v>0</v>
      </c>
      <c r="P49" t="s">
        <v>23</v>
      </c>
      <c r="Q49">
        <v>0</v>
      </c>
      <c r="R49">
        <f t="shared" si="2"/>
        <v>0</v>
      </c>
      <c r="Y49" s="4" t="s">
        <v>23</v>
      </c>
      <c r="Z49">
        <v>0</v>
      </c>
      <c r="AA49">
        <f t="shared" si="4"/>
        <v>0</v>
      </c>
      <c r="AH49" s="4" t="s">
        <v>23</v>
      </c>
      <c r="AI49">
        <v>0</v>
      </c>
      <c r="AJ49">
        <f t="shared" si="6"/>
        <v>0</v>
      </c>
      <c r="AR49" s="4" t="s">
        <v>23</v>
      </c>
      <c r="AS49" s="4">
        <v>0</v>
      </c>
      <c r="AT49">
        <f t="shared" si="7"/>
        <v>0</v>
      </c>
    </row>
    <row r="50" spans="7:46" x14ac:dyDescent="0.5">
      <c r="G50" t="s">
        <v>24</v>
      </c>
      <c r="H50">
        <f>COUNTIF(B2:B39, "10D")</f>
        <v>1</v>
      </c>
      <c r="I50">
        <f t="shared" si="0"/>
        <v>105.26315789473685</v>
      </c>
      <c r="P50" t="s">
        <v>24</v>
      </c>
      <c r="Q50">
        <v>1</v>
      </c>
      <c r="R50">
        <f t="shared" si="2"/>
        <v>105.26315789473685</v>
      </c>
      <c r="Y50" s="4" t="s">
        <v>24</v>
      </c>
      <c r="Z50">
        <v>0</v>
      </c>
      <c r="AA50">
        <f t="shared" si="4"/>
        <v>0</v>
      </c>
      <c r="AH50" s="4" t="s">
        <v>24</v>
      </c>
      <c r="AI50">
        <v>1</v>
      </c>
      <c r="AJ50">
        <f t="shared" si="6"/>
        <v>105.26315789473685</v>
      </c>
      <c r="AR50" s="4" t="s">
        <v>24</v>
      </c>
      <c r="AS50" s="4">
        <v>0</v>
      </c>
      <c r="AT50">
        <f t="shared" si="7"/>
        <v>0</v>
      </c>
    </row>
    <row r="51" spans="7:46" x14ac:dyDescent="0.5">
      <c r="G51" t="s">
        <v>69</v>
      </c>
      <c r="H51">
        <f>COUNTIF(B2:B39, "10E")</f>
        <v>0</v>
      </c>
      <c r="I51">
        <f t="shared" si="0"/>
        <v>0</v>
      </c>
      <c r="P51" t="s">
        <v>69</v>
      </c>
      <c r="Q51">
        <v>0</v>
      </c>
      <c r="R51">
        <f t="shared" si="2"/>
        <v>0</v>
      </c>
      <c r="Y51" s="4" t="s">
        <v>69</v>
      </c>
      <c r="Z51">
        <v>0</v>
      </c>
      <c r="AA51">
        <f>Z51/$J$1</f>
        <v>0</v>
      </c>
      <c r="AH51" s="4" t="s">
        <v>69</v>
      </c>
      <c r="AI51">
        <v>0</v>
      </c>
      <c r="AJ51">
        <f t="shared" si="6"/>
        <v>0</v>
      </c>
      <c r="AR51" s="4" t="s">
        <v>69</v>
      </c>
      <c r="AS51" s="4">
        <v>0</v>
      </c>
      <c r="AT51">
        <f t="shared" si="7"/>
        <v>0</v>
      </c>
    </row>
    <row r="52" spans="7:46" x14ac:dyDescent="0.5">
      <c r="Y52" s="4"/>
      <c r="AH52" s="4"/>
      <c r="AR52" s="4"/>
      <c r="AS52" s="4"/>
    </row>
    <row r="53" spans="7:46" x14ac:dyDescent="0.5">
      <c r="H53">
        <f>SUM(H2:H51)</f>
        <v>34</v>
      </c>
      <c r="Y53" s="4"/>
      <c r="AH53" s="4"/>
      <c r="AR53" s="4"/>
      <c r="AS53" s="4"/>
    </row>
  </sheetData>
  <mergeCells count="2">
    <mergeCell ref="B33:C33"/>
    <mergeCell ref="A40:D4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88AD-D459-E54A-BF0F-D8FF72B0DC61}">
  <dimension ref="A1:AX100"/>
  <sheetViews>
    <sheetView workbookViewId="0">
      <selection activeCell="AM10" sqref="AM10"/>
    </sheetView>
  </sheetViews>
  <sheetFormatPr baseColWidth="10" defaultRowHeight="15.75" x14ac:dyDescent="0.5"/>
  <cols>
    <col min="12" max="12" width="16.375" customWidth="1"/>
    <col min="13" max="13" width="17.5625" customWidth="1"/>
    <col min="14" max="14" width="13.8125" customWidth="1"/>
    <col min="21" max="21" width="10.4375" customWidth="1"/>
    <col min="22" max="22" width="19.8125" customWidth="1"/>
    <col min="23" max="23" width="14.9375" customWidth="1"/>
    <col min="30" max="30" width="9.875" customWidth="1"/>
    <col min="31" max="31" width="19.5" customWidth="1"/>
    <col min="39" max="39" width="9.5625" customWidth="1"/>
    <col min="40" max="40" width="18.6875" customWidth="1"/>
    <col min="41" max="41" width="17.8125" customWidth="1"/>
    <col min="48" max="48" width="18" customWidth="1"/>
  </cols>
  <sheetData>
    <row r="1" spans="1:50" s="6" customFormat="1" x14ac:dyDescent="0.5">
      <c r="A1" s="5" t="s">
        <v>0</v>
      </c>
      <c r="B1" s="5" t="s">
        <v>105</v>
      </c>
      <c r="C1" s="5" t="s">
        <v>106</v>
      </c>
      <c r="D1" s="5" t="s">
        <v>112</v>
      </c>
      <c r="E1" s="5" t="s">
        <v>128</v>
      </c>
      <c r="G1" s="5" t="s">
        <v>105</v>
      </c>
      <c r="H1" s="5" t="s">
        <v>118</v>
      </c>
      <c r="I1" s="6" t="s">
        <v>111</v>
      </c>
      <c r="J1" s="6">
        <v>9.4999999999999998E-3</v>
      </c>
      <c r="L1" s="6" t="s">
        <v>116</v>
      </c>
      <c r="M1" s="6" t="s">
        <v>129</v>
      </c>
      <c r="N1" s="6" t="s">
        <v>127</v>
      </c>
      <c r="P1" s="6" t="s">
        <v>4</v>
      </c>
      <c r="Q1" s="5" t="s">
        <v>105</v>
      </c>
      <c r="R1" s="6" t="s">
        <v>118</v>
      </c>
      <c r="S1" s="6" t="s">
        <v>140</v>
      </c>
      <c r="U1" s="6" t="s">
        <v>116</v>
      </c>
      <c r="V1" s="6" t="s">
        <v>129</v>
      </c>
      <c r="W1" s="6" t="s">
        <v>127</v>
      </c>
      <c r="Y1" s="6" t="s">
        <v>99</v>
      </c>
      <c r="Z1" s="5" t="s">
        <v>105</v>
      </c>
      <c r="AA1" s="6" t="s">
        <v>118</v>
      </c>
      <c r="AB1" s="6" t="s">
        <v>141</v>
      </c>
      <c r="AD1" s="6" t="s">
        <v>116</v>
      </c>
      <c r="AE1" s="6" t="s">
        <v>129</v>
      </c>
      <c r="AF1" s="6" t="s">
        <v>127</v>
      </c>
      <c r="AH1" s="6" t="s">
        <v>109</v>
      </c>
      <c r="AI1" s="5" t="s">
        <v>105</v>
      </c>
      <c r="AJ1" s="6" t="s">
        <v>118</v>
      </c>
      <c r="AK1" s="6" t="s">
        <v>141</v>
      </c>
      <c r="AM1" s="6" t="s">
        <v>116</v>
      </c>
      <c r="AN1" s="6" t="s">
        <v>129</v>
      </c>
      <c r="AO1" s="6" t="s">
        <v>127</v>
      </c>
      <c r="AQ1" s="6" t="s">
        <v>103</v>
      </c>
      <c r="AR1" s="5" t="s">
        <v>105</v>
      </c>
      <c r="AS1" s="6" t="s">
        <v>118</v>
      </c>
      <c r="AT1" s="6" t="s">
        <v>140</v>
      </c>
      <c r="AV1" s="6" t="s">
        <v>116</v>
      </c>
      <c r="AW1" s="6" t="s">
        <v>129</v>
      </c>
      <c r="AX1" s="6" t="s">
        <v>127</v>
      </c>
    </row>
    <row r="2" spans="1:50" x14ac:dyDescent="0.5">
      <c r="A2" s="1">
        <v>1</v>
      </c>
      <c r="B2" s="1" t="s">
        <v>3</v>
      </c>
      <c r="C2" s="1" t="s">
        <v>4</v>
      </c>
      <c r="D2" s="1">
        <v>17.45</v>
      </c>
      <c r="E2" s="1">
        <v>5.2999999999999999E-2</v>
      </c>
      <c r="G2" t="s">
        <v>5</v>
      </c>
      <c r="H2">
        <f>SUM(E12:E18)</f>
        <v>0.14500000000000002</v>
      </c>
      <c r="I2">
        <f>H2/$J$1</f>
        <v>15.263157894736844</v>
      </c>
      <c r="L2">
        <v>1</v>
      </c>
      <c r="M2">
        <f>SUM(I2:I6)</f>
        <v>88.315789473684234</v>
      </c>
      <c r="N2">
        <f>M2/5</f>
        <v>17.663157894736848</v>
      </c>
      <c r="P2">
        <v>7</v>
      </c>
      <c r="Q2" t="s">
        <v>5</v>
      </c>
      <c r="R2">
        <f>SUM(E12:E18)</f>
        <v>0.14500000000000002</v>
      </c>
      <c r="S2">
        <f>R2/$J$1</f>
        <v>15.263157894736844</v>
      </c>
      <c r="U2">
        <v>1</v>
      </c>
      <c r="V2">
        <f>SUM(S2:S6)</f>
        <v>88.315789473684234</v>
      </c>
      <c r="W2">
        <f>V2/5</f>
        <v>17.663157894736848</v>
      </c>
      <c r="Z2" t="s">
        <v>5</v>
      </c>
      <c r="AA2">
        <v>0</v>
      </c>
      <c r="AB2">
        <f>AA2/$J$1</f>
        <v>0</v>
      </c>
      <c r="AD2">
        <v>1</v>
      </c>
      <c r="AE2">
        <f>SUM(AB2:AB6)</f>
        <v>0</v>
      </c>
      <c r="AF2">
        <v>0</v>
      </c>
      <c r="AI2" s="4" t="s">
        <v>5</v>
      </c>
      <c r="AJ2">
        <v>0</v>
      </c>
      <c r="AK2">
        <f>AJ2/$J$1</f>
        <v>0</v>
      </c>
      <c r="AM2">
        <v>1</v>
      </c>
      <c r="AN2">
        <v>0</v>
      </c>
      <c r="AO2">
        <f>AN2/5</f>
        <v>0</v>
      </c>
      <c r="AR2" s="4" t="s">
        <v>5</v>
      </c>
      <c r="AS2">
        <v>0</v>
      </c>
      <c r="AT2">
        <v>0</v>
      </c>
      <c r="AV2">
        <v>1</v>
      </c>
      <c r="AW2">
        <v>0</v>
      </c>
      <c r="AX2">
        <v>0</v>
      </c>
    </row>
    <row r="3" spans="1:50" x14ac:dyDescent="0.5">
      <c r="A3" s="1">
        <v>2</v>
      </c>
      <c r="B3" s="1" t="s">
        <v>3</v>
      </c>
      <c r="C3" s="1" t="s">
        <v>4</v>
      </c>
      <c r="D3" s="1">
        <v>16.37</v>
      </c>
      <c r="E3" s="1">
        <v>3.4000000000000002E-2</v>
      </c>
      <c r="G3" t="s">
        <v>3</v>
      </c>
      <c r="H3">
        <v>0.25700000000000001</v>
      </c>
      <c r="I3">
        <f t="shared" ref="I3:I51" si="0">H3/$J$1</f>
        <v>27.05263157894737</v>
      </c>
      <c r="L3">
        <v>2</v>
      </c>
      <c r="M3">
        <f>SUM(I7:I11)</f>
        <v>4.5263157894736841</v>
      </c>
      <c r="N3">
        <f t="shared" ref="N3:N11" si="1">M3/5</f>
        <v>0.90526315789473677</v>
      </c>
      <c r="P3">
        <v>11</v>
      </c>
      <c r="Q3" t="s">
        <v>3</v>
      </c>
      <c r="R3">
        <v>0.25700000000000001</v>
      </c>
      <c r="S3">
        <f t="shared" ref="S3:S51" si="2">R3/$J$1</f>
        <v>27.05263157894737</v>
      </c>
      <c r="U3">
        <v>2</v>
      </c>
      <c r="V3">
        <f>SUM(S7:S11)</f>
        <v>2.8421052631578947</v>
      </c>
      <c r="W3">
        <f t="shared" ref="W3:W11" si="3">V3/5</f>
        <v>0.56842105263157894</v>
      </c>
      <c r="Z3" t="s">
        <v>3</v>
      </c>
      <c r="AA3">
        <v>0</v>
      </c>
      <c r="AB3">
        <f t="shared" ref="AB3:AB51" si="4">AA3/$J$1</f>
        <v>0</v>
      </c>
      <c r="AD3">
        <v>2</v>
      </c>
      <c r="AE3">
        <f>SUM(AB7:AB11)</f>
        <v>1.6842105263157894</v>
      </c>
      <c r="AF3">
        <f t="shared" ref="AF3:AF9" si="5">AE3/5</f>
        <v>0.33684210526315789</v>
      </c>
      <c r="AI3" s="4" t="s">
        <v>3</v>
      </c>
      <c r="AJ3">
        <v>0</v>
      </c>
      <c r="AK3">
        <f t="shared" ref="AK3:AK51" si="6">AJ3/$J$1</f>
        <v>0</v>
      </c>
      <c r="AM3">
        <v>2</v>
      </c>
      <c r="AN3">
        <v>0</v>
      </c>
      <c r="AO3">
        <f t="shared" ref="AO3:AO11" si="7">AN3/5</f>
        <v>0</v>
      </c>
      <c r="AR3" s="4" t="s">
        <v>3</v>
      </c>
      <c r="AS3">
        <v>0</v>
      </c>
      <c r="AT3">
        <v>0</v>
      </c>
      <c r="AV3">
        <v>2</v>
      </c>
      <c r="AW3">
        <v>0</v>
      </c>
      <c r="AX3">
        <v>0</v>
      </c>
    </row>
    <row r="4" spans="1:50" x14ac:dyDescent="0.5">
      <c r="A4" s="1">
        <v>3</v>
      </c>
      <c r="B4" s="1" t="s">
        <v>3</v>
      </c>
      <c r="C4" s="1" t="s">
        <v>4</v>
      </c>
      <c r="D4" s="1">
        <v>18.14</v>
      </c>
      <c r="E4" s="1">
        <v>4.3999999999999997E-2</v>
      </c>
      <c r="G4" t="s">
        <v>9</v>
      </c>
      <c r="H4">
        <f>SUM(E21:E34)</f>
        <v>0.39700000000000013</v>
      </c>
      <c r="I4">
        <f t="shared" si="0"/>
        <v>41.789473684210542</v>
      </c>
      <c r="L4">
        <v>3</v>
      </c>
      <c r="M4">
        <f>SUM(I12:I16)</f>
        <v>11.473684210526315</v>
      </c>
      <c r="N4">
        <f t="shared" si="1"/>
        <v>2.2947368421052632</v>
      </c>
      <c r="P4">
        <v>14</v>
      </c>
      <c r="Q4" t="s">
        <v>9</v>
      </c>
      <c r="R4">
        <f>SUM(E21:E34)</f>
        <v>0.39700000000000013</v>
      </c>
      <c r="S4">
        <f t="shared" si="2"/>
        <v>41.789473684210542</v>
      </c>
      <c r="U4">
        <v>3</v>
      </c>
      <c r="V4">
        <f>SUM(S12:S16)</f>
        <v>2.1052631578947367</v>
      </c>
      <c r="W4">
        <f t="shared" si="3"/>
        <v>0.42105263157894735</v>
      </c>
      <c r="Z4" t="s">
        <v>9</v>
      </c>
      <c r="AA4">
        <v>0</v>
      </c>
      <c r="AB4">
        <f t="shared" si="4"/>
        <v>0</v>
      </c>
      <c r="AD4">
        <v>3</v>
      </c>
      <c r="AE4">
        <f>SUM(AB12:AB16)</f>
        <v>0.8421052631578948</v>
      </c>
      <c r="AF4">
        <f t="shared" si="5"/>
        <v>0.16842105263157897</v>
      </c>
      <c r="AI4" s="4" t="s">
        <v>9</v>
      </c>
      <c r="AJ4">
        <v>0</v>
      </c>
      <c r="AK4">
        <f t="shared" si="6"/>
        <v>0</v>
      </c>
      <c r="AM4">
        <v>3</v>
      </c>
      <c r="AN4">
        <f>SUM(AK12:AK16)</f>
        <v>4.5263157894736841</v>
      </c>
      <c r="AO4">
        <f t="shared" si="7"/>
        <v>0.90526315789473677</v>
      </c>
      <c r="AR4" s="4" t="s">
        <v>9</v>
      </c>
      <c r="AS4">
        <v>0</v>
      </c>
      <c r="AT4">
        <v>0</v>
      </c>
      <c r="AV4">
        <v>3</v>
      </c>
      <c r="AW4">
        <v>0</v>
      </c>
      <c r="AX4">
        <v>0</v>
      </c>
    </row>
    <row r="5" spans="1:50" x14ac:dyDescent="0.5">
      <c r="A5" s="1">
        <v>4</v>
      </c>
      <c r="B5" s="1" t="s">
        <v>3</v>
      </c>
      <c r="C5" s="1" t="s">
        <v>4</v>
      </c>
      <c r="D5" s="1">
        <v>16.12</v>
      </c>
      <c r="E5" s="1">
        <v>2.8000000000000001E-2</v>
      </c>
      <c r="G5" t="s">
        <v>6</v>
      </c>
      <c r="H5">
        <v>0.04</v>
      </c>
      <c r="I5">
        <f t="shared" si="0"/>
        <v>4.2105263157894735</v>
      </c>
      <c r="L5">
        <v>4</v>
      </c>
      <c r="M5">
        <f>SUM(I17:I21)</f>
        <v>5.052631578947369</v>
      </c>
      <c r="N5">
        <f t="shared" si="1"/>
        <v>1.0105263157894737</v>
      </c>
      <c r="P5">
        <v>1</v>
      </c>
      <c r="Q5" t="s">
        <v>6</v>
      </c>
      <c r="R5">
        <f>SUM(E19)</f>
        <v>0.04</v>
      </c>
      <c r="S5">
        <f t="shared" si="2"/>
        <v>4.2105263157894735</v>
      </c>
      <c r="U5">
        <v>4</v>
      </c>
      <c r="V5">
        <f>SUM(S17:S21)</f>
        <v>3.7894736842105265</v>
      </c>
      <c r="W5">
        <f t="shared" si="3"/>
        <v>0.75789473684210529</v>
      </c>
      <c r="Z5" t="s">
        <v>6</v>
      </c>
      <c r="AA5">
        <v>0</v>
      </c>
      <c r="AB5">
        <f t="shared" si="4"/>
        <v>0</v>
      </c>
      <c r="AD5">
        <v>4</v>
      </c>
      <c r="AE5">
        <f>SUM(AB17:AB21)</f>
        <v>1.263157894736842</v>
      </c>
      <c r="AF5">
        <f t="shared" si="5"/>
        <v>0.25263157894736843</v>
      </c>
      <c r="AI5" s="4" t="s">
        <v>6</v>
      </c>
      <c r="AJ5">
        <v>0</v>
      </c>
      <c r="AK5">
        <f t="shared" si="6"/>
        <v>0</v>
      </c>
      <c r="AM5">
        <v>4</v>
      </c>
      <c r="AN5">
        <v>0</v>
      </c>
      <c r="AO5">
        <f t="shared" si="7"/>
        <v>0</v>
      </c>
      <c r="AR5" s="4" t="s">
        <v>6</v>
      </c>
      <c r="AS5">
        <v>0</v>
      </c>
      <c r="AT5">
        <v>0</v>
      </c>
      <c r="AV5">
        <v>4</v>
      </c>
      <c r="AW5">
        <v>0</v>
      </c>
      <c r="AX5">
        <v>0</v>
      </c>
    </row>
    <row r="6" spans="1:50" x14ac:dyDescent="0.5">
      <c r="A6" s="1">
        <v>5</v>
      </c>
      <c r="B6" s="1" t="s">
        <v>3</v>
      </c>
      <c r="C6" s="1" t="s">
        <v>4</v>
      </c>
      <c r="D6" s="1">
        <v>16.149999999999999</v>
      </c>
      <c r="E6" s="1">
        <v>0.03</v>
      </c>
      <c r="G6" t="s">
        <v>47</v>
      </c>
      <c r="H6">
        <v>0</v>
      </c>
      <c r="I6">
        <f t="shared" si="0"/>
        <v>0</v>
      </c>
      <c r="L6">
        <v>5</v>
      </c>
      <c r="M6">
        <f>SUM(I22:I26)</f>
        <v>9.2631578947368425</v>
      </c>
      <c r="N6">
        <f t="shared" si="1"/>
        <v>1.8526315789473684</v>
      </c>
      <c r="Q6" t="s">
        <v>47</v>
      </c>
      <c r="R6">
        <v>0</v>
      </c>
      <c r="S6">
        <f t="shared" si="2"/>
        <v>0</v>
      </c>
      <c r="U6">
        <v>5</v>
      </c>
      <c r="V6">
        <f>SUM(S22:S26)</f>
        <v>6.5263157894736841</v>
      </c>
      <c r="W6">
        <f t="shared" si="3"/>
        <v>1.3052631578947369</v>
      </c>
      <c r="Z6" t="s">
        <v>47</v>
      </c>
      <c r="AA6">
        <v>0</v>
      </c>
      <c r="AB6">
        <f t="shared" si="4"/>
        <v>0</v>
      </c>
      <c r="AD6">
        <v>5</v>
      </c>
      <c r="AE6">
        <f>SUM(AB22:AB26)</f>
        <v>2.7368421052631584</v>
      </c>
      <c r="AF6">
        <f t="shared" si="5"/>
        <v>0.54736842105263173</v>
      </c>
      <c r="AI6" s="4" t="s">
        <v>47</v>
      </c>
      <c r="AJ6">
        <v>0</v>
      </c>
      <c r="AK6">
        <f t="shared" si="6"/>
        <v>0</v>
      </c>
      <c r="AM6">
        <v>5</v>
      </c>
      <c r="AN6">
        <v>0</v>
      </c>
      <c r="AO6">
        <f t="shared" si="7"/>
        <v>0</v>
      </c>
      <c r="AR6" s="4" t="s">
        <v>47</v>
      </c>
      <c r="AS6">
        <v>0</v>
      </c>
      <c r="AT6">
        <v>0</v>
      </c>
      <c r="AV6">
        <v>5</v>
      </c>
      <c r="AW6">
        <v>0</v>
      </c>
      <c r="AX6">
        <v>0</v>
      </c>
    </row>
    <row r="7" spans="1:50" x14ac:dyDescent="0.5">
      <c r="A7" s="1">
        <v>6</v>
      </c>
      <c r="B7" s="1" t="s">
        <v>3</v>
      </c>
      <c r="C7" s="1" t="s">
        <v>4</v>
      </c>
      <c r="D7" s="1">
        <v>13.95</v>
      </c>
      <c r="E7" s="1">
        <v>1.7999999999999999E-2</v>
      </c>
      <c r="G7" t="s">
        <v>13</v>
      </c>
      <c r="H7">
        <v>1.2999999999999999E-2</v>
      </c>
      <c r="I7">
        <f t="shared" si="0"/>
        <v>1.368421052631579</v>
      </c>
      <c r="L7">
        <v>6</v>
      </c>
      <c r="M7">
        <f>SUM(I27:I31)</f>
        <v>9.2631578947368443</v>
      </c>
      <c r="N7">
        <f t="shared" si="1"/>
        <v>1.8526315789473689</v>
      </c>
      <c r="P7">
        <v>1</v>
      </c>
      <c r="Q7" t="s">
        <v>13</v>
      </c>
      <c r="R7">
        <v>1.2999999999999999E-2</v>
      </c>
      <c r="S7">
        <f t="shared" si="2"/>
        <v>1.368421052631579</v>
      </c>
      <c r="U7">
        <v>6</v>
      </c>
      <c r="V7">
        <f>SUM(S27:S31)</f>
        <v>0</v>
      </c>
      <c r="W7">
        <f t="shared" si="3"/>
        <v>0</v>
      </c>
      <c r="Z7" t="s">
        <v>13</v>
      </c>
      <c r="AA7">
        <v>0</v>
      </c>
      <c r="AB7">
        <f t="shared" si="4"/>
        <v>0</v>
      </c>
      <c r="AD7">
        <v>6</v>
      </c>
      <c r="AE7">
        <f>SUM(AB27:AB31)</f>
        <v>8.631578947368423</v>
      </c>
      <c r="AF7">
        <f t="shared" si="5"/>
        <v>1.7263157894736847</v>
      </c>
      <c r="AI7" s="4" t="s">
        <v>13</v>
      </c>
      <c r="AJ7">
        <v>0</v>
      </c>
      <c r="AK7">
        <f t="shared" si="6"/>
        <v>0</v>
      </c>
      <c r="AM7">
        <v>6</v>
      </c>
      <c r="AN7">
        <f>SUM(AK31)</f>
        <v>0</v>
      </c>
      <c r="AO7">
        <f t="shared" si="7"/>
        <v>0</v>
      </c>
      <c r="AR7" s="4" t="s">
        <v>13</v>
      </c>
      <c r="AS7">
        <v>0</v>
      </c>
      <c r="AT7">
        <v>0</v>
      </c>
      <c r="AV7">
        <v>6</v>
      </c>
      <c r="AW7">
        <f>SUM(AT27:AT31)</f>
        <v>0.2105263157894737</v>
      </c>
      <c r="AX7">
        <f>AW7/5</f>
        <v>4.2105263157894743E-2</v>
      </c>
    </row>
    <row r="8" spans="1:50" x14ac:dyDescent="0.5">
      <c r="A8" s="1">
        <v>7</v>
      </c>
      <c r="B8" s="1" t="s">
        <v>3</v>
      </c>
      <c r="C8" s="1" t="s">
        <v>4</v>
      </c>
      <c r="D8" s="1">
        <v>13.37</v>
      </c>
      <c r="E8" s="1">
        <v>1.2E-2</v>
      </c>
      <c r="G8" t="s">
        <v>48</v>
      </c>
      <c r="H8">
        <v>0</v>
      </c>
      <c r="I8">
        <f t="shared" si="0"/>
        <v>0</v>
      </c>
      <c r="L8">
        <v>7</v>
      </c>
      <c r="M8">
        <f>SUM(I32:I36)</f>
        <v>3.6842105263157894</v>
      </c>
      <c r="N8">
        <f t="shared" si="1"/>
        <v>0.73684210526315785</v>
      </c>
      <c r="Q8" t="s">
        <v>48</v>
      </c>
      <c r="R8">
        <v>0</v>
      </c>
      <c r="S8">
        <f t="shared" si="2"/>
        <v>0</v>
      </c>
      <c r="U8">
        <v>7</v>
      </c>
      <c r="V8">
        <f>SUM(S32:S36)</f>
        <v>0.52631578947368429</v>
      </c>
      <c r="W8">
        <f t="shared" si="3"/>
        <v>0.10526315789473686</v>
      </c>
      <c r="Z8" t="s">
        <v>48</v>
      </c>
      <c r="AA8">
        <v>0</v>
      </c>
      <c r="AB8">
        <f t="shared" si="4"/>
        <v>0</v>
      </c>
      <c r="AD8">
        <v>7</v>
      </c>
      <c r="AE8">
        <f>SUM(AB32:AB36)</f>
        <v>3.1578947368421053</v>
      </c>
      <c r="AF8">
        <f t="shared" si="5"/>
        <v>0.63157894736842102</v>
      </c>
      <c r="AI8" s="4" t="s">
        <v>48</v>
      </c>
      <c r="AJ8">
        <v>0</v>
      </c>
      <c r="AK8">
        <f t="shared" si="6"/>
        <v>0</v>
      </c>
      <c r="AM8">
        <v>7</v>
      </c>
      <c r="AN8">
        <v>0</v>
      </c>
      <c r="AO8">
        <f t="shared" si="7"/>
        <v>0</v>
      </c>
      <c r="AR8" s="4" t="s">
        <v>48</v>
      </c>
      <c r="AS8">
        <v>0</v>
      </c>
      <c r="AT8">
        <v>0</v>
      </c>
      <c r="AV8">
        <v>7</v>
      </c>
      <c r="AW8">
        <v>0</v>
      </c>
      <c r="AX8">
        <v>0</v>
      </c>
    </row>
    <row r="9" spans="1:50" x14ac:dyDescent="0.5">
      <c r="A9" s="1">
        <v>8</v>
      </c>
      <c r="B9" s="1" t="s">
        <v>3</v>
      </c>
      <c r="C9" s="1" t="s">
        <v>4</v>
      </c>
      <c r="D9" s="1">
        <v>12.85</v>
      </c>
      <c r="E9" s="1">
        <v>1.2999999999999999E-2</v>
      </c>
      <c r="G9" t="s">
        <v>49</v>
      </c>
      <c r="H9">
        <v>0</v>
      </c>
      <c r="I9">
        <f t="shared" si="0"/>
        <v>0</v>
      </c>
      <c r="L9">
        <v>8</v>
      </c>
      <c r="M9">
        <f>SUM(I37:I41)</f>
        <v>18</v>
      </c>
      <c r="N9">
        <f t="shared" si="1"/>
        <v>3.6</v>
      </c>
      <c r="Q9" t="s">
        <v>49</v>
      </c>
      <c r="R9">
        <v>0</v>
      </c>
      <c r="S9">
        <f t="shared" si="2"/>
        <v>0</v>
      </c>
      <c r="U9">
        <v>8</v>
      </c>
      <c r="V9">
        <f>SUM(S37:S41)</f>
        <v>5.7894736842105265</v>
      </c>
      <c r="W9">
        <f t="shared" si="3"/>
        <v>1.1578947368421053</v>
      </c>
      <c r="Z9" t="s">
        <v>49</v>
      </c>
      <c r="AA9">
        <v>0</v>
      </c>
      <c r="AB9">
        <f t="shared" si="4"/>
        <v>0</v>
      </c>
      <c r="AD9">
        <v>8</v>
      </c>
      <c r="AE9">
        <f>SUM(AB37:AB41)</f>
        <v>3.0526315789473686</v>
      </c>
      <c r="AF9">
        <f t="shared" si="5"/>
        <v>0.61052631578947369</v>
      </c>
      <c r="AI9" s="4" t="s">
        <v>49</v>
      </c>
      <c r="AJ9">
        <v>0</v>
      </c>
      <c r="AK9">
        <f t="shared" si="6"/>
        <v>0</v>
      </c>
      <c r="AM9">
        <v>8</v>
      </c>
      <c r="AN9">
        <f>SUM(AK38)</f>
        <v>9.1578947368421044</v>
      </c>
      <c r="AO9">
        <f t="shared" si="7"/>
        <v>1.831578947368421</v>
      </c>
      <c r="AR9" s="4" t="s">
        <v>49</v>
      </c>
      <c r="AS9">
        <v>0</v>
      </c>
      <c r="AT9">
        <v>0</v>
      </c>
      <c r="AV9">
        <v>8</v>
      </c>
      <c r="AW9">
        <v>0</v>
      </c>
      <c r="AX9">
        <v>0</v>
      </c>
    </row>
    <row r="10" spans="1:50" x14ac:dyDescent="0.5">
      <c r="A10" s="1">
        <v>9</v>
      </c>
      <c r="B10" s="1" t="s">
        <v>3</v>
      </c>
      <c r="C10" s="1" t="s">
        <v>4</v>
      </c>
      <c r="D10" s="1">
        <v>12.56</v>
      </c>
      <c r="E10" s="1">
        <v>0.01</v>
      </c>
      <c r="G10" t="s">
        <v>14</v>
      </c>
      <c r="H10">
        <f>SUM(E40:E43)</f>
        <v>2.5000000000000001E-2</v>
      </c>
      <c r="I10">
        <f t="shared" si="0"/>
        <v>2.6315789473684212</v>
      </c>
      <c r="L10">
        <v>9</v>
      </c>
      <c r="M10">
        <f>SUM(I42:I46)</f>
        <v>5.8947368421052637</v>
      </c>
      <c r="N10">
        <f t="shared" si="1"/>
        <v>1.1789473684210527</v>
      </c>
      <c r="P10">
        <v>3</v>
      </c>
      <c r="Q10" t="s">
        <v>14</v>
      </c>
      <c r="R10">
        <f>SUM(E40:E42)</f>
        <v>1.4000000000000002E-2</v>
      </c>
      <c r="S10">
        <f t="shared" si="2"/>
        <v>1.4736842105263159</v>
      </c>
      <c r="U10">
        <v>9</v>
      </c>
      <c r="V10">
        <v>0</v>
      </c>
      <c r="W10">
        <f t="shared" si="3"/>
        <v>0</v>
      </c>
      <c r="Z10" t="s">
        <v>14</v>
      </c>
      <c r="AA10" s="1">
        <v>1.0999999999999999E-2</v>
      </c>
      <c r="AB10">
        <f t="shared" si="4"/>
        <v>1.1578947368421053</v>
      </c>
      <c r="AD10">
        <v>9</v>
      </c>
      <c r="AE10">
        <v>0</v>
      </c>
      <c r="AF10">
        <v>0</v>
      </c>
      <c r="AI10" s="4" t="s">
        <v>14</v>
      </c>
      <c r="AJ10">
        <v>0</v>
      </c>
      <c r="AK10">
        <f t="shared" si="6"/>
        <v>0</v>
      </c>
      <c r="AM10">
        <v>9</v>
      </c>
      <c r="AN10">
        <f>SUM(AK44)</f>
        <v>0.58947368421052637</v>
      </c>
      <c r="AO10">
        <f t="shared" si="7"/>
        <v>0.11789473684210527</v>
      </c>
      <c r="AR10" s="4" t="s">
        <v>14</v>
      </c>
      <c r="AS10">
        <v>0</v>
      </c>
      <c r="AT10">
        <v>0</v>
      </c>
      <c r="AV10">
        <v>9</v>
      </c>
      <c r="AW10">
        <v>0</v>
      </c>
      <c r="AX10">
        <v>0</v>
      </c>
    </row>
    <row r="11" spans="1:50" x14ac:dyDescent="0.5">
      <c r="A11" s="1">
        <v>10</v>
      </c>
      <c r="B11" s="1" t="s">
        <v>3</v>
      </c>
      <c r="C11" s="1" t="s">
        <v>4</v>
      </c>
      <c r="D11" s="1">
        <v>9.0500000000000007</v>
      </c>
      <c r="E11" s="1">
        <v>0</v>
      </c>
      <c r="G11" t="s">
        <v>15</v>
      </c>
      <c r="H11" s="1">
        <v>5.0000000000000001E-3</v>
      </c>
      <c r="I11">
        <f t="shared" si="0"/>
        <v>0.52631578947368418</v>
      </c>
      <c r="L11">
        <v>10</v>
      </c>
      <c r="M11">
        <f>SUM(I47:I51)</f>
        <v>18.315789473684212</v>
      </c>
      <c r="N11">
        <f t="shared" si="1"/>
        <v>3.6631578947368424</v>
      </c>
      <c r="Q11" t="s">
        <v>15</v>
      </c>
      <c r="R11">
        <v>0</v>
      </c>
      <c r="S11">
        <f t="shared" si="2"/>
        <v>0</v>
      </c>
      <c r="U11">
        <v>10</v>
      </c>
      <c r="V11">
        <f>SUM(S47:S51)</f>
        <v>18.315789473684212</v>
      </c>
      <c r="W11">
        <f t="shared" si="3"/>
        <v>3.6631578947368424</v>
      </c>
      <c r="Z11" t="s">
        <v>15</v>
      </c>
      <c r="AA11" s="1">
        <v>5.0000000000000001E-3</v>
      </c>
      <c r="AB11">
        <f t="shared" si="4"/>
        <v>0.52631578947368418</v>
      </c>
      <c r="AD11">
        <v>10</v>
      </c>
      <c r="AE11">
        <v>0</v>
      </c>
      <c r="AF11">
        <v>0</v>
      </c>
      <c r="AI11" s="4" t="s">
        <v>15</v>
      </c>
      <c r="AJ11">
        <v>0</v>
      </c>
      <c r="AK11">
        <f t="shared" si="6"/>
        <v>0</v>
      </c>
      <c r="AM11">
        <v>10</v>
      </c>
      <c r="AN11">
        <v>0</v>
      </c>
      <c r="AO11">
        <f t="shared" si="7"/>
        <v>0</v>
      </c>
      <c r="AR11" s="4" t="s">
        <v>15</v>
      </c>
      <c r="AS11">
        <v>0</v>
      </c>
      <c r="AT11">
        <v>0</v>
      </c>
      <c r="AV11">
        <v>10</v>
      </c>
      <c r="AW11">
        <v>0</v>
      </c>
      <c r="AX11">
        <v>0</v>
      </c>
    </row>
    <row r="12" spans="1:50" x14ac:dyDescent="0.5">
      <c r="A12" s="1">
        <v>11</v>
      </c>
      <c r="B12" s="1" t="s">
        <v>5</v>
      </c>
      <c r="C12" s="1" t="s">
        <v>4</v>
      </c>
      <c r="D12" s="1">
        <v>19.579999999999998</v>
      </c>
      <c r="E12" s="1">
        <v>4.9000000000000002E-2</v>
      </c>
      <c r="G12" t="s">
        <v>50</v>
      </c>
      <c r="H12">
        <v>0</v>
      </c>
      <c r="I12">
        <f t="shared" si="0"/>
        <v>0</v>
      </c>
      <c r="Q12" t="s">
        <v>50</v>
      </c>
      <c r="R12">
        <v>0</v>
      </c>
      <c r="S12">
        <f t="shared" si="2"/>
        <v>0</v>
      </c>
      <c r="Z12" t="s">
        <v>50</v>
      </c>
      <c r="AA12">
        <v>0</v>
      </c>
      <c r="AB12">
        <f t="shared" si="4"/>
        <v>0</v>
      </c>
      <c r="AI12" s="4" t="s">
        <v>50</v>
      </c>
      <c r="AJ12">
        <v>0</v>
      </c>
      <c r="AK12">
        <f t="shared" si="6"/>
        <v>0</v>
      </c>
      <c r="AR12" s="4" t="s">
        <v>50</v>
      </c>
      <c r="AS12">
        <v>0</v>
      </c>
      <c r="AT12">
        <v>0</v>
      </c>
    </row>
    <row r="13" spans="1:50" x14ac:dyDescent="0.5">
      <c r="A13" s="1">
        <v>12</v>
      </c>
      <c r="B13" s="1" t="s">
        <v>5</v>
      </c>
      <c r="C13" s="1" t="s">
        <v>4</v>
      </c>
      <c r="D13" s="1">
        <v>17.190000000000001</v>
      </c>
      <c r="E13" s="1">
        <v>3.4000000000000002E-2</v>
      </c>
      <c r="G13" t="s">
        <v>16</v>
      </c>
      <c r="H13">
        <v>8.0000000000000002E-3</v>
      </c>
      <c r="I13">
        <f t="shared" si="0"/>
        <v>0.8421052631578948</v>
      </c>
      <c r="L13" t="s">
        <v>136</v>
      </c>
      <c r="M13" t="s">
        <v>134</v>
      </c>
      <c r="N13">
        <f>MEDIAN(N2:N11)</f>
        <v>1.8526315789473686</v>
      </c>
      <c r="Q13" t="s">
        <v>16</v>
      </c>
      <c r="R13">
        <v>0</v>
      </c>
      <c r="S13">
        <f t="shared" si="2"/>
        <v>0</v>
      </c>
      <c r="V13" t="s">
        <v>98</v>
      </c>
      <c r="W13">
        <f>MEDIAN(W2:W11)</f>
        <v>0.66315789473684217</v>
      </c>
      <c r="Z13" t="s">
        <v>16</v>
      </c>
      <c r="AA13" s="1">
        <v>8.0000000000000002E-3</v>
      </c>
      <c r="AB13">
        <f t="shared" si="4"/>
        <v>0.8421052631578948</v>
      </c>
      <c r="AE13" t="s">
        <v>104</v>
      </c>
      <c r="AF13">
        <f>MEDIAN(AF2:AF11)</f>
        <v>0.29473684210526319</v>
      </c>
      <c r="AI13" s="4" t="s">
        <v>16</v>
      </c>
      <c r="AJ13">
        <v>0</v>
      </c>
      <c r="AK13">
        <f t="shared" si="6"/>
        <v>0</v>
      </c>
      <c r="AR13" s="4" t="s">
        <v>16</v>
      </c>
      <c r="AS13">
        <v>0</v>
      </c>
      <c r="AT13">
        <v>0</v>
      </c>
    </row>
    <row r="14" spans="1:50" x14ac:dyDescent="0.5">
      <c r="A14" s="1">
        <v>13</v>
      </c>
      <c r="B14" s="1" t="s">
        <v>5</v>
      </c>
      <c r="C14" s="1" t="s">
        <v>4</v>
      </c>
      <c r="D14" s="1">
        <v>16.670000000000002</v>
      </c>
      <c r="E14" s="1">
        <v>2.5999999999999999E-2</v>
      </c>
      <c r="G14" t="s">
        <v>17</v>
      </c>
      <c r="H14">
        <v>0.02</v>
      </c>
      <c r="I14">
        <f t="shared" si="0"/>
        <v>2.1052631578947367</v>
      </c>
      <c r="M14" t="s">
        <v>96</v>
      </c>
      <c r="N14">
        <f>MIN(N2:N11)</f>
        <v>0.73684210526315785</v>
      </c>
      <c r="P14">
        <v>1</v>
      </c>
      <c r="Q14" t="s">
        <v>17</v>
      </c>
      <c r="R14">
        <v>0.02</v>
      </c>
      <c r="S14">
        <f t="shared" si="2"/>
        <v>2.1052631578947367</v>
      </c>
      <c r="V14" t="s">
        <v>94</v>
      </c>
      <c r="W14">
        <v>0</v>
      </c>
      <c r="Z14" t="s">
        <v>17</v>
      </c>
      <c r="AA14" s="1">
        <v>0</v>
      </c>
      <c r="AB14">
        <f t="shared" si="4"/>
        <v>0</v>
      </c>
      <c r="AE14" t="s">
        <v>96</v>
      </c>
      <c r="AF14">
        <f>MIN(AF2:AF11)</f>
        <v>0</v>
      </c>
      <c r="AI14" s="4" t="s">
        <v>17</v>
      </c>
      <c r="AJ14">
        <v>0</v>
      </c>
      <c r="AK14">
        <f t="shared" si="6"/>
        <v>0</v>
      </c>
      <c r="AN14" t="s">
        <v>104</v>
      </c>
      <c r="AO14">
        <f>MEDIAN(AO2:AO11)</f>
        <v>0</v>
      </c>
      <c r="AR14" s="4" t="s">
        <v>17</v>
      </c>
      <c r="AS14">
        <v>0</v>
      </c>
      <c r="AT14">
        <v>0</v>
      </c>
      <c r="AW14" t="s">
        <v>104</v>
      </c>
      <c r="AX14">
        <f>MEDIAN(AX2:AX11)</f>
        <v>0</v>
      </c>
    </row>
    <row r="15" spans="1:50" x14ac:dyDescent="0.5">
      <c r="A15" s="1">
        <v>14</v>
      </c>
      <c r="B15" s="1" t="s">
        <v>5</v>
      </c>
      <c r="C15" s="1" t="s">
        <v>4</v>
      </c>
      <c r="D15" s="1">
        <v>16.149999999999999</v>
      </c>
      <c r="E15" s="1">
        <v>1.6E-2</v>
      </c>
      <c r="G15" t="s">
        <v>51</v>
      </c>
      <c r="H15">
        <v>0</v>
      </c>
      <c r="I15">
        <f t="shared" si="0"/>
        <v>0</v>
      </c>
      <c r="M15" t="s">
        <v>97</v>
      </c>
      <c r="N15">
        <f>MAX(N2:N11)</f>
        <v>17.663157894736848</v>
      </c>
      <c r="Q15" t="s">
        <v>51</v>
      </c>
      <c r="R15">
        <v>0</v>
      </c>
      <c r="S15">
        <f t="shared" si="2"/>
        <v>0</v>
      </c>
      <c r="V15" t="s">
        <v>95</v>
      </c>
      <c r="W15">
        <f>MAX(W2:W11)</f>
        <v>17.663157894736848</v>
      </c>
      <c r="Z15" t="s">
        <v>51</v>
      </c>
      <c r="AA15" s="1">
        <v>0</v>
      </c>
      <c r="AB15">
        <f t="shared" si="4"/>
        <v>0</v>
      </c>
      <c r="AE15" t="s">
        <v>97</v>
      </c>
      <c r="AF15">
        <f>MAX(AF2:AF11)</f>
        <v>1.7263157894736847</v>
      </c>
      <c r="AI15" s="4" t="s">
        <v>51</v>
      </c>
      <c r="AJ15">
        <v>0</v>
      </c>
      <c r="AK15">
        <f t="shared" si="6"/>
        <v>0</v>
      </c>
      <c r="AN15" t="s">
        <v>94</v>
      </c>
      <c r="AO15">
        <v>0</v>
      </c>
      <c r="AR15" s="4" t="s">
        <v>51</v>
      </c>
      <c r="AS15">
        <v>0</v>
      </c>
      <c r="AT15">
        <v>0</v>
      </c>
      <c r="AW15" t="s">
        <v>96</v>
      </c>
      <c r="AX15">
        <f>MIN(AX2:AX11)</f>
        <v>0</v>
      </c>
    </row>
    <row r="16" spans="1:50" x14ac:dyDescent="0.5">
      <c r="A16" s="1">
        <v>15</v>
      </c>
      <c r="B16" s="1" t="s">
        <v>5</v>
      </c>
      <c r="C16" s="1" t="s">
        <v>4</v>
      </c>
      <c r="D16" s="1">
        <v>13.53</v>
      </c>
      <c r="E16" s="1">
        <v>1.4E-2</v>
      </c>
      <c r="G16" t="s">
        <v>12</v>
      </c>
      <c r="H16">
        <v>8.0999999999999989E-2</v>
      </c>
      <c r="I16">
        <f t="shared" si="0"/>
        <v>8.5263157894736832</v>
      </c>
      <c r="P16">
        <v>1</v>
      </c>
      <c r="Q16" t="s">
        <v>12</v>
      </c>
      <c r="R16" s="1">
        <v>0</v>
      </c>
      <c r="S16">
        <f t="shared" si="2"/>
        <v>0</v>
      </c>
      <c r="Z16" t="s">
        <v>12</v>
      </c>
      <c r="AA16" s="1">
        <v>0</v>
      </c>
      <c r="AB16">
        <f t="shared" si="4"/>
        <v>0</v>
      </c>
      <c r="AI16" s="4" t="s">
        <v>12</v>
      </c>
      <c r="AJ16">
        <v>4.2999999999999997E-2</v>
      </c>
      <c r="AK16">
        <f t="shared" si="6"/>
        <v>4.5263157894736841</v>
      </c>
      <c r="AN16" t="s">
        <v>97</v>
      </c>
      <c r="AO16">
        <f>MAX(AO2:AO11)</f>
        <v>1.831578947368421</v>
      </c>
      <c r="AR16" s="4" t="s">
        <v>12</v>
      </c>
      <c r="AS16">
        <v>0</v>
      </c>
      <c r="AT16">
        <v>0</v>
      </c>
      <c r="AW16" t="s">
        <v>97</v>
      </c>
      <c r="AX16">
        <f>MAX(AX2:AX11)</f>
        <v>4.2105263157894743E-2</v>
      </c>
    </row>
    <row r="17" spans="1:46" x14ac:dyDescent="0.5">
      <c r="A17" s="1">
        <v>16</v>
      </c>
      <c r="B17" s="1" t="s">
        <v>5</v>
      </c>
      <c r="C17" s="1" t="s">
        <v>4</v>
      </c>
      <c r="D17" s="1">
        <v>12.34</v>
      </c>
      <c r="E17" s="1">
        <v>0</v>
      </c>
      <c r="G17" t="s">
        <v>52</v>
      </c>
      <c r="H17">
        <f>SUM(E35)</f>
        <v>1.2E-2</v>
      </c>
      <c r="I17">
        <f t="shared" si="0"/>
        <v>1.2631578947368423</v>
      </c>
      <c r="P17">
        <v>1</v>
      </c>
      <c r="Q17" t="s">
        <v>52</v>
      </c>
      <c r="R17">
        <v>1.2E-2</v>
      </c>
      <c r="S17">
        <f t="shared" si="2"/>
        <v>1.2631578947368423</v>
      </c>
      <c r="Z17" t="s">
        <v>52</v>
      </c>
      <c r="AA17" s="1">
        <v>0</v>
      </c>
      <c r="AB17">
        <f t="shared" si="4"/>
        <v>0</v>
      </c>
      <c r="AI17" s="4" t="s">
        <v>52</v>
      </c>
      <c r="AJ17">
        <v>0</v>
      </c>
      <c r="AK17">
        <f t="shared" si="6"/>
        <v>0</v>
      </c>
      <c r="AR17" s="4" t="s">
        <v>52</v>
      </c>
      <c r="AS17">
        <v>0</v>
      </c>
      <c r="AT17">
        <v>0</v>
      </c>
    </row>
    <row r="18" spans="1:46" x14ac:dyDescent="0.5">
      <c r="A18" s="1">
        <v>17</v>
      </c>
      <c r="B18" s="1" t="s">
        <v>5</v>
      </c>
      <c r="C18" s="1" t="s">
        <v>4</v>
      </c>
      <c r="D18" s="1">
        <v>12.76</v>
      </c>
      <c r="E18" s="1">
        <v>6.0000000000000001E-3</v>
      </c>
      <c r="G18" t="s">
        <v>11</v>
      </c>
      <c r="H18">
        <f>SUM(E36:E37)</f>
        <v>2.7E-2</v>
      </c>
      <c r="I18">
        <f t="shared" si="0"/>
        <v>2.8421052631578947</v>
      </c>
      <c r="P18">
        <v>1</v>
      </c>
      <c r="Q18" t="s">
        <v>11</v>
      </c>
      <c r="R18">
        <v>2.4E-2</v>
      </c>
      <c r="S18">
        <f t="shared" si="2"/>
        <v>2.5263157894736845</v>
      </c>
      <c r="Z18" t="s">
        <v>11</v>
      </c>
      <c r="AA18" s="1">
        <v>3.0000000000000001E-3</v>
      </c>
      <c r="AB18">
        <f t="shared" si="4"/>
        <v>0.31578947368421056</v>
      </c>
      <c r="AI18" s="4" t="s">
        <v>11</v>
      </c>
      <c r="AJ18">
        <v>0</v>
      </c>
      <c r="AK18">
        <f t="shared" si="6"/>
        <v>0</v>
      </c>
      <c r="AR18" s="4" t="s">
        <v>11</v>
      </c>
      <c r="AS18">
        <v>0</v>
      </c>
      <c r="AT18">
        <v>0</v>
      </c>
    </row>
    <row r="19" spans="1:46" x14ac:dyDescent="0.5">
      <c r="A19" s="1">
        <v>18</v>
      </c>
      <c r="B19" s="1" t="s">
        <v>6</v>
      </c>
      <c r="C19" s="1" t="s">
        <v>4</v>
      </c>
      <c r="D19" s="1">
        <v>18.29</v>
      </c>
      <c r="E19" s="1">
        <v>0.04</v>
      </c>
      <c r="G19" t="s">
        <v>53</v>
      </c>
      <c r="H19">
        <v>0</v>
      </c>
      <c r="I19">
        <f t="shared" si="0"/>
        <v>0</v>
      </c>
      <c r="Q19" t="s">
        <v>53</v>
      </c>
      <c r="R19">
        <v>0</v>
      </c>
      <c r="S19">
        <f t="shared" si="2"/>
        <v>0</v>
      </c>
      <c r="Z19" t="s">
        <v>53</v>
      </c>
      <c r="AA19" s="1">
        <v>0</v>
      </c>
      <c r="AB19">
        <f t="shared" si="4"/>
        <v>0</v>
      </c>
      <c r="AI19" s="4" t="s">
        <v>53</v>
      </c>
      <c r="AJ19">
        <v>0</v>
      </c>
      <c r="AK19">
        <f t="shared" si="6"/>
        <v>0</v>
      </c>
      <c r="AR19" s="4" t="s">
        <v>53</v>
      </c>
      <c r="AS19">
        <v>0</v>
      </c>
      <c r="AT19">
        <v>0</v>
      </c>
    </row>
    <row r="20" spans="1:46" x14ac:dyDescent="0.5">
      <c r="A20" s="1">
        <v>19</v>
      </c>
      <c r="B20" s="1" t="s">
        <v>7</v>
      </c>
      <c r="C20" s="1" t="s">
        <v>8</v>
      </c>
      <c r="D20" s="1">
        <v>17.3</v>
      </c>
      <c r="E20" s="1">
        <v>8.9999999999999993E-3</v>
      </c>
      <c r="G20" t="s">
        <v>7</v>
      </c>
      <c r="H20">
        <v>8.9999999999999993E-3</v>
      </c>
      <c r="I20">
        <f t="shared" si="0"/>
        <v>0.94736842105263153</v>
      </c>
      <c r="Q20" t="s">
        <v>7</v>
      </c>
      <c r="R20">
        <v>0</v>
      </c>
      <c r="S20">
        <f t="shared" si="2"/>
        <v>0</v>
      </c>
      <c r="Z20" t="s">
        <v>7</v>
      </c>
      <c r="AA20" s="1">
        <v>8.9999999999999993E-3</v>
      </c>
      <c r="AB20">
        <f t="shared" si="4"/>
        <v>0.94736842105263153</v>
      </c>
      <c r="AI20" s="4" t="s">
        <v>7</v>
      </c>
      <c r="AJ20">
        <v>0</v>
      </c>
      <c r="AK20">
        <f t="shared" si="6"/>
        <v>0</v>
      </c>
      <c r="AR20" s="4" t="s">
        <v>7</v>
      </c>
      <c r="AS20">
        <v>0</v>
      </c>
      <c r="AT20">
        <v>0</v>
      </c>
    </row>
    <row r="21" spans="1:46" x14ac:dyDescent="0.5">
      <c r="A21" s="1">
        <v>20</v>
      </c>
      <c r="B21" s="1" t="s">
        <v>9</v>
      </c>
      <c r="C21" s="1" t="s">
        <v>4</v>
      </c>
      <c r="D21" s="1">
        <v>18.170000000000002</v>
      </c>
      <c r="E21" s="1">
        <v>3.1E-2</v>
      </c>
      <c r="G21" t="s">
        <v>54</v>
      </c>
      <c r="H21">
        <v>0</v>
      </c>
      <c r="I21">
        <f t="shared" si="0"/>
        <v>0</v>
      </c>
      <c r="Q21" t="s">
        <v>54</v>
      </c>
      <c r="R21">
        <v>0</v>
      </c>
      <c r="S21">
        <f t="shared" si="2"/>
        <v>0</v>
      </c>
      <c r="Z21" t="s">
        <v>54</v>
      </c>
      <c r="AA21" s="1">
        <v>0</v>
      </c>
      <c r="AB21">
        <f t="shared" si="4"/>
        <v>0</v>
      </c>
      <c r="AI21" s="4" t="s">
        <v>54</v>
      </c>
      <c r="AJ21">
        <v>0</v>
      </c>
      <c r="AK21">
        <f t="shared" si="6"/>
        <v>0</v>
      </c>
      <c r="AR21" s="4" t="s">
        <v>54</v>
      </c>
      <c r="AS21">
        <v>0</v>
      </c>
      <c r="AT21">
        <v>0</v>
      </c>
    </row>
    <row r="22" spans="1:46" x14ac:dyDescent="0.5">
      <c r="A22" s="1">
        <v>21</v>
      </c>
      <c r="B22" s="1" t="s">
        <v>9</v>
      </c>
      <c r="C22" s="1" t="s">
        <v>4</v>
      </c>
      <c r="D22" s="1">
        <v>16.690000000000001</v>
      </c>
      <c r="E22" s="1">
        <v>3.4000000000000002E-2</v>
      </c>
      <c r="G22" t="s">
        <v>18</v>
      </c>
      <c r="H22">
        <f>SUM(E47:E50)</f>
        <v>3.5000000000000003E-2</v>
      </c>
      <c r="I22">
        <f t="shared" si="0"/>
        <v>3.6842105263157898</v>
      </c>
      <c r="P22">
        <v>1</v>
      </c>
      <c r="Q22" t="s">
        <v>18</v>
      </c>
      <c r="R22">
        <v>2.9000000000000001E-2</v>
      </c>
      <c r="S22">
        <f t="shared" si="2"/>
        <v>3.0526315789473686</v>
      </c>
      <c r="Z22" t="s">
        <v>18</v>
      </c>
      <c r="AA22">
        <v>6.0000000000000001E-3</v>
      </c>
      <c r="AB22">
        <f t="shared" si="4"/>
        <v>0.63157894736842113</v>
      </c>
      <c r="AI22" s="4" t="s">
        <v>18</v>
      </c>
      <c r="AJ22">
        <v>0</v>
      </c>
      <c r="AK22">
        <f t="shared" si="6"/>
        <v>0</v>
      </c>
      <c r="AR22" s="4" t="s">
        <v>18</v>
      </c>
      <c r="AS22">
        <v>0</v>
      </c>
      <c r="AT22">
        <v>0</v>
      </c>
    </row>
    <row r="23" spans="1:46" x14ac:dyDescent="0.5">
      <c r="A23" s="1">
        <v>22</v>
      </c>
      <c r="B23" s="1" t="s">
        <v>9</v>
      </c>
      <c r="C23" s="1" t="s">
        <v>4</v>
      </c>
      <c r="D23" s="1">
        <v>18.5</v>
      </c>
      <c r="E23" s="1">
        <v>0.05</v>
      </c>
      <c r="G23" t="s">
        <v>55</v>
      </c>
      <c r="H23">
        <f>SUM(E51:E52)</f>
        <v>1.9E-2</v>
      </c>
      <c r="I23">
        <f t="shared" si="0"/>
        <v>2</v>
      </c>
      <c r="P23">
        <v>1</v>
      </c>
      <c r="Q23" t="s">
        <v>55</v>
      </c>
      <c r="R23">
        <v>1.2E-2</v>
      </c>
      <c r="S23">
        <f t="shared" si="2"/>
        <v>1.2631578947368423</v>
      </c>
      <c r="Z23" t="s">
        <v>55</v>
      </c>
      <c r="AA23" s="1">
        <v>7.0000000000000001E-3</v>
      </c>
      <c r="AB23">
        <f t="shared" si="4"/>
        <v>0.73684210526315796</v>
      </c>
      <c r="AI23" s="4" t="s">
        <v>55</v>
      </c>
      <c r="AJ23">
        <v>0</v>
      </c>
      <c r="AK23">
        <f t="shared" si="6"/>
        <v>0</v>
      </c>
      <c r="AR23" s="4" t="s">
        <v>55</v>
      </c>
      <c r="AS23">
        <v>0</v>
      </c>
      <c r="AT23">
        <v>0</v>
      </c>
    </row>
    <row r="24" spans="1:46" x14ac:dyDescent="0.5">
      <c r="A24" s="1">
        <v>23</v>
      </c>
      <c r="B24" s="1" t="s">
        <v>9</v>
      </c>
      <c r="C24" s="1" t="s">
        <v>4</v>
      </c>
      <c r="D24" s="1">
        <v>18.489999999999998</v>
      </c>
      <c r="E24" s="1">
        <v>0.05</v>
      </c>
      <c r="G24" t="s">
        <v>20</v>
      </c>
      <c r="H24">
        <v>3.4000000000000002E-2</v>
      </c>
      <c r="I24">
        <f t="shared" si="0"/>
        <v>3.5789473684210531</v>
      </c>
      <c r="P24">
        <v>2</v>
      </c>
      <c r="Q24" t="s">
        <v>20</v>
      </c>
      <c r="R24">
        <v>2.0999999999999998E-2</v>
      </c>
      <c r="S24">
        <f t="shared" si="2"/>
        <v>2.2105263157894735</v>
      </c>
      <c r="Z24" t="s">
        <v>20</v>
      </c>
      <c r="AA24">
        <v>1.3000000000000001E-2</v>
      </c>
      <c r="AB24">
        <f t="shared" si="4"/>
        <v>1.3684210526315792</v>
      </c>
      <c r="AI24" s="4" t="s">
        <v>20</v>
      </c>
      <c r="AJ24">
        <v>0</v>
      </c>
      <c r="AK24">
        <f t="shared" si="6"/>
        <v>0</v>
      </c>
      <c r="AR24" s="4" t="s">
        <v>20</v>
      </c>
      <c r="AS24">
        <v>0</v>
      </c>
      <c r="AT24">
        <v>0</v>
      </c>
    </row>
    <row r="25" spans="1:46" x14ac:dyDescent="0.5">
      <c r="A25" s="1">
        <v>24</v>
      </c>
      <c r="B25" s="1" t="s">
        <v>9</v>
      </c>
      <c r="C25" s="1" t="s">
        <v>4</v>
      </c>
      <c r="D25" s="1">
        <v>17</v>
      </c>
      <c r="E25" s="1">
        <v>3.9E-2</v>
      </c>
      <c r="G25" t="s">
        <v>56</v>
      </c>
      <c r="H25">
        <v>0</v>
      </c>
      <c r="I25">
        <f t="shared" si="0"/>
        <v>0</v>
      </c>
      <c r="Q25" t="s">
        <v>56</v>
      </c>
      <c r="R25">
        <v>0</v>
      </c>
      <c r="S25">
        <f t="shared" si="2"/>
        <v>0</v>
      </c>
      <c r="Z25" t="s">
        <v>56</v>
      </c>
      <c r="AA25" s="1">
        <v>0</v>
      </c>
      <c r="AB25">
        <f t="shared" si="4"/>
        <v>0</v>
      </c>
      <c r="AI25" s="4" t="s">
        <v>56</v>
      </c>
      <c r="AJ25">
        <v>0</v>
      </c>
      <c r="AK25">
        <f t="shared" si="6"/>
        <v>0</v>
      </c>
      <c r="AR25" s="4" t="s">
        <v>56</v>
      </c>
      <c r="AS25">
        <v>0</v>
      </c>
      <c r="AT25">
        <v>0</v>
      </c>
    </row>
    <row r="26" spans="1:46" x14ac:dyDescent="0.5">
      <c r="A26" s="1">
        <v>25</v>
      </c>
      <c r="B26" s="1" t="s">
        <v>9</v>
      </c>
      <c r="C26" s="1" t="s">
        <v>4</v>
      </c>
      <c r="D26" s="1">
        <v>17.46</v>
      </c>
      <c r="E26" s="1">
        <v>4.1000000000000002E-2</v>
      </c>
      <c r="G26" t="s">
        <v>57</v>
      </c>
      <c r="H26">
        <v>0</v>
      </c>
      <c r="I26">
        <f t="shared" si="0"/>
        <v>0</v>
      </c>
      <c r="Q26" t="s">
        <v>57</v>
      </c>
      <c r="R26">
        <v>0</v>
      </c>
      <c r="S26">
        <f t="shared" si="2"/>
        <v>0</v>
      </c>
      <c r="Z26" t="s">
        <v>57</v>
      </c>
      <c r="AA26">
        <v>0</v>
      </c>
      <c r="AB26">
        <f t="shared" si="4"/>
        <v>0</v>
      </c>
      <c r="AI26" s="4" t="s">
        <v>57</v>
      </c>
      <c r="AJ26">
        <v>0</v>
      </c>
      <c r="AK26">
        <f t="shared" si="6"/>
        <v>0</v>
      </c>
      <c r="AR26" s="4" t="s">
        <v>57</v>
      </c>
      <c r="AS26">
        <v>0</v>
      </c>
      <c r="AT26">
        <v>0</v>
      </c>
    </row>
    <row r="27" spans="1:46" x14ac:dyDescent="0.5">
      <c r="A27" s="1">
        <v>26</v>
      </c>
      <c r="B27" s="1" t="s">
        <v>9</v>
      </c>
      <c r="C27" s="1" t="s">
        <v>4</v>
      </c>
      <c r="D27" s="1">
        <v>15.62</v>
      </c>
      <c r="E27" s="1">
        <v>2.8000000000000001E-2</v>
      </c>
      <c r="G27" t="s">
        <v>31</v>
      </c>
      <c r="H27">
        <f>SUM(E78:E82)</f>
        <v>5.9000000000000004E-2</v>
      </c>
      <c r="I27">
        <f t="shared" si="0"/>
        <v>6.2105263157894743</v>
      </c>
      <c r="Q27" t="s">
        <v>31</v>
      </c>
      <c r="R27">
        <v>0</v>
      </c>
      <c r="S27">
        <f t="shared" si="2"/>
        <v>0</v>
      </c>
      <c r="Z27" t="s">
        <v>31</v>
      </c>
      <c r="AA27">
        <v>5.9000000000000004E-2</v>
      </c>
      <c r="AB27">
        <f t="shared" si="4"/>
        <v>6.2105263157894743</v>
      </c>
      <c r="AI27" s="4" t="s">
        <v>31</v>
      </c>
      <c r="AJ27">
        <v>0</v>
      </c>
      <c r="AK27">
        <f>AJ27/$J$1</f>
        <v>0</v>
      </c>
      <c r="AR27" s="4" t="s">
        <v>31</v>
      </c>
      <c r="AS27">
        <v>0</v>
      </c>
      <c r="AT27">
        <v>0</v>
      </c>
    </row>
    <row r="28" spans="1:46" x14ac:dyDescent="0.5">
      <c r="A28" s="1">
        <v>27</v>
      </c>
      <c r="B28" s="1" t="s">
        <v>9</v>
      </c>
      <c r="C28" s="1" t="s">
        <v>4</v>
      </c>
      <c r="D28" s="1">
        <v>15.36</v>
      </c>
      <c r="E28" s="1">
        <v>2.5000000000000001E-2</v>
      </c>
      <c r="G28" t="s">
        <v>32</v>
      </c>
      <c r="H28">
        <v>2.2000000000000002E-2</v>
      </c>
      <c r="I28">
        <f t="shared" si="0"/>
        <v>2.3157894736842106</v>
      </c>
      <c r="Q28" t="s">
        <v>32</v>
      </c>
      <c r="R28">
        <v>0</v>
      </c>
      <c r="S28">
        <f t="shared" si="2"/>
        <v>0</v>
      </c>
      <c r="Z28" t="s">
        <v>32</v>
      </c>
      <c r="AA28" s="1">
        <v>1.8000000000000002E-2</v>
      </c>
      <c r="AB28">
        <f t="shared" si="4"/>
        <v>1.8947368421052635</v>
      </c>
      <c r="AI28" s="4" t="s">
        <v>32</v>
      </c>
      <c r="AJ28">
        <v>0</v>
      </c>
      <c r="AK28">
        <f t="shared" si="6"/>
        <v>0</v>
      </c>
      <c r="AR28" s="4" t="s">
        <v>32</v>
      </c>
      <c r="AS28">
        <v>0</v>
      </c>
      <c r="AT28">
        <v>0</v>
      </c>
    </row>
    <row r="29" spans="1:46" x14ac:dyDescent="0.5">
      <c r="A29" s="1">
        <v>28</v>
      </c>
      <c r="B29" s="1" t="s">
        <v>9</v>
      </c>
      <c r="C29" s="1" t="s">
        <v>4</v>
      </c>
      <c r="D29" s="1">
        <v>13.88</v>
      </c>
      <c r="E29" s="1">
        <v>1.7999999999999999E-2</v>
      </c>
      <c r="G29" t="s">
        <v>33</v>
      </c>
      <c r="H29">
        <v>5.0000000000000001E-3</v>
      </c>
      <c r="I29">
        <f t="shared" si="0"/>
        <v>0.52631578947368418</v>
      </c>
      <c r="Q29" t="s">
        <v>33</v>
      </c>
      <c r="R29">
        <v>0</v>
      </c>
      <c r="S29">
        <f t="shared" si="2"/>
        <v>0</v>
      </c>
      <c r="Z29" t="s">
        <v>33</v>
      </c>
      <c r="AA29" s="1">
        <v>5.0000000000000001E-3</v>
      </c>
      <c r="AB29">
        <f t="shared" si="4"/>
        <v>0.52631578947368418</v>
      </c>
      <c r="AI29" s="4" t="s">
        <v>33</v>
      </c>
      <c r="AJ29">
        <v>0</v>
      </c>
      <c r="AK29">
        <f t="shared" si="6"/>
        <v>0</v>
      </c>
      <c r="AR29" s="4" t="s">
        <v>33</v>
      </c>
      <c r="AS29">
        <v>0</v>
      </c>
      <c r="AT29">
        <v>0</v>
      </c>
    </row>
    <row r="30" spans="1:46" x14ac:dyDescent="0.5">
      <c r="A30" s="1">
        <v>29</v>
      </c>
      <c r="B30" s="1" t="s">
        <v>9</v>
      </c>
      <c r="C30" s="1" t="s">
        <v>4</v>
      </c>
      <c r="D30" s="1">
        <v>14.68</v>
      </c>
      <c r="E30" s="1">
        <v>2.1999999999999999E-2</v>
      </c>
      <c r="G30" t="s">
        <v>58</v>
      </c>
      <c r="H30">
        <v>0</v>
      </c>
      <c r="I30">
        <f t="shared" si="0"/>
        <v>0</v>
      </c>
      <c r="Q30" t="s">
        <v>58</v>
      </c>
      <c r="R30">
        <v>0</v>
      </c>
      <c r="S30">
        <f t="shared" si="2"/>
        <v>0</v>
      </c>
      <c r="Z30" t="s">
        <v>58</v>
      </c>
      <c r="AA30" s="1">
        <v>0</v>
      </c>
      <c r="AB30">
        <f t="shared" si="4"/>
        <v>0</v>
      </c>
      <c r="AI30" s="4" t="s">
        <v>58</v>
      </c>
      <c r="AJ30">
        <v>0</v>
      </c>
      <c r="AK30">
        <f t="shared" si="6"/>
        <v>0</v>
      </c>
      <c r="AR30" s="4" t="s">
        <v>58</v>
      </c>
      <c r="AS30">
        <v>0</v>
      </c>
      <c r="AT30">
        <v>0</v>
      </c>
    </row>
    <row r="31" spans="1:46" x14ac:dyDescent="0.5">
      <c r="A31" s="1">
        <v>30</v>
      </c>
      <c r="B31" s="1" t="s">
        <v>9</v>
      </c>
      <c r="C31" s="1" t="s">
        <v>4</v>
      </c>
      <c r="D31" s="1">
        <v>13.9</v>
      </c>
      <c r="E31" s="1">
        <v>2.3E-2</v>
      </c>
      <c r="G31" t="s">
        <v>59</v>
      </c>
      <c r="H31" s="1">
        <v>2E-3</v>
      </c>
      <c r="I31">
        <f t="shared" si="0"/>
        <v>0.2105263157894737</v>
      </c>
      <c r="Q31" t="s">
        <v>59</v>
      </c>
      <c r="R31">
        <v>0</v>
      </c>
      <c r="S31">
        <f t="shared" si="2"/>
        <v>0</v>
      </c>
      <c r="Z31" t="s">
        <v>59</v>
      </c>
      <c r="AA31" s="1">
        <v>0</v>
      </c>
      <c r="AB31">
        <f t="shared" si="4"/>
        <v>0</v>
      </c>
      <c r="AI31" s="4" t="s">
        <v>59</v>
      </c>
      <c r="AJ31">
        <v>0</v>
      </c>
      <c r="AK31">
        <v>0</v>
      </c>
      <c r="AR31" s="4" t="s">
        <v>59</v>
      </c>
      <c r="AS31">
        <v>2E-3</v>
      </c>
      <c r="AT31">
        <f>AS31/$J$1</f>
        <v>0.2105263157894737</v>
      </c>
    </row>
    <row r="32" spans="1:46" x14ac:dyDescent="0.5">
      <c r="A32" s="1">
        <v>31</v>
      </c>
      <c r="B32" s="1" t="s">
        <v>9</v>
      </c>
      <c r="C32" s="1" t="s">
        <v>4</v>
      </c>
      <c r="D32" s="1">
        <v>13.55</v>
      </c>
      <c r="E32" s="1">
        <v>1.4E-2</v>
      </c>
      <c r="G32" t="s">
        <v>25</v>
      </c>
      <c r="H32">
        <f>SUM(E69:E70)</f>
        <v>1.0999999999999999E-2</v>
      </c>
      <c r="I32">
        <f>H32/$J$1</f>
        <v>1.1578947368421053</v>
      </c>
      <c r="P32">
        <v>1</v>
      </c>
      <c r="Q32" t="s">
        <v>25</v>
      </c>
      <c r="R32">
        <v>1E-3</v>
      </c>
      <c r="S32">
        <f t="shared" si="2"/>
        <v>0.10526315789473685</v>
      </c>
      <c r="Z32" t="s">
        <v>25</v>
      </c>
      <c r="AA32" s="1">
        <v>0.01</v>
      </c>
      <c r="AB32">
        <f t="shared" si="4"/>
        <v>1.0526315789473684</v>
      </c>
      <c r="AI32" s="4" t="s">
        <v>25</v>
      </c>
      <c r="AJ32">
        <v>0</v>
      </c>
      <c r="AK32">
        <f t="shared" si="6"/>
        <v>0</v>
      </c>
      <c r="AR32" s="4" t="s">
        <v>25</v>
      </c>
      <c r="AS32">
        <v>0</v>
      </c>
      <c r="AT32">
        <v>0</v>
      </c>
    </row>
    <row r="33" spans="1:46" x14ac:dyDescent="0.5">
      <c r="A33" s="1">
        <v>32</v>
      </c>
      <c r="B33" s="1" t="s">
        <v>9</v>
      </c>
      <c r="C33" s="1" t="s">
        <v>4</v>
      </c>
      <c r="D33" s="1">
        <v>12.85</v>
      </c>
      <c r="E33" s="1">
        <v>1.6E-2</v>
      </c>
      <c r="G33" t="s">
        <v>26</v>
      </c>
      <c r="H33">
        <f>SUM(E71)</f>
        <v>5.0000000000000001E-3</v>
      </c>
      <c r="I33">
        <f t="shared" si="0"/>
        <v>0.52631578947368418</v>
      </c>
      <c r="Q33" t="s">
        <v>26</v>
      </c>
      <c r="R33">
        <v>0</v>
      </c>
      <c r="S33">
        <f t="shared" si="2"/>
        <v>0</v>
      </c>
      <c r="Z33" t="s">
        <v>26</v>
      </c>
      <c r="AA33" s="1">
        <v>5.0000000000000001E-3</v>
      </c>
      <c r="AB33">
        <f t="shared" si="4"/>
        <v>0.52631578947368418</v>
      </c>
      <c r="AI33" s="4" t="s">
        <v>26</v>
      </c>
      <c r="AJ33">
        <v>0</v>
      </c>
      <c r="AK33">
        <f t="shared" si="6"/>
        <v>0</v>
      </c>
      <c r="AR33" s="4" t="s">
        <v>26</v>
      </c>
      <c r="AS33">
        <v>0</v>
      </c>
      <c r="AT33">
        <v>0</v>
      </c>
    </row>
    <row r="34" spans="1:46" x14ac:dyDescent="0.5">
      <c r="A34" s="1">
        <v>33</v>
      </c>
      <c r="B34" s="1" t="s">
        <v>9</v>
      </c>
      <c r="C34" s="1" t="s">
        <v>4</v>
      </c>
      <c r="D34" s="1">
        <v>10.32</v>
      </c>
      <c r="E34" s="1">
        <v>6.0000000000000001E-3</v>
      </c>
      <c r="G34" t="s">
        <v>27</v>
      </c>
      <c r="H34">
        <v>1.4999999999999999E-2</v>
      </c>
      <c r="I34">
        <f t="shared" si="0"/>
        <v>1.5789473684210527</v>
      </c>
      <c r="Q34" t="s">
        <v>27</v>
      </c>
      <c r="R34">
        <v>0</v>
      </c>
      <c r="S34">
        <f t="shared" si="2"/>
        <v>0</v>
      </c>
      <c r="Z34" t="s">
        <v>27</v>
      </c>
      <c r="AA34" s="1">
        <v>1.4999999999999999E-2</v>
      </c>
      <c r="AB34">
        <f t="shared" si="4"/>
        <v>1.5789473684210527</v>
      </c>
      <c r="AI34" s="4" t="s">
        <v>27</v>
      </c>
      <c r="AJ34">
        <v>0</v>
      </c>
      <c r="AK34">
        <f t="shared" si="6"/>
        <v>0</v>
      </c>
      <c r="AR34" s="4" t="s">
        <v>27</v>
      </c>
      <c r="AS34">
        <v>0</v>
      </c>
      <c r="AT34">
        <v>0</v>
      </c>
    </row>
    <row r="35" spans="1:46" x14ac:dyDescent="0.5">
      <c r="A35" s="1">
        <v>34</v>
      </c>
      <c r="B35" s="1" t="s">
        <v>10</v>
      </c>
      <c r="C35" s="1" t="s">
        <v>4</v>
      </c>
      <c r="D35" s="1">
        <v>12.09</v>
      </c>
      <c r="E35" s="1">
        <v>1.2E-2</v>
      </c>
      <c r="G35" t="s">
        <v>60</v>
      </c>
      <c r="H35">
        <v>0</v>
      </c>
      <c r="I35">
        <f t="shared" si="0"/>
        <v>0</v>
      </c>
      <c r="Q35" t="s">
        <v>60</v>
      </c>
      <c r="R35">
        <v>0</v>
      </c>
      <c r="S35">
        <f t="shared" si="2"/>
        <v>0</v>
      </c>
      <c r="Z35" t="s">
        <v>60</v>
      </c>
      <c r="AA35" s="1">
        <v>0</v>
      </c>
      <c r="AB35">
        <f t="shared" si="4"/>
        <v>0</v>
      </c>
      <c r="AI35" s="4" t="s">
        <v>60</v>
      </c>
      <c r="AJ35">
        <v>0</v>
      </c>
      <c r="AK35">
        <f t="shared" si="6"/>
        <v>0</v>
      </c>
      <c r="AR35" s="4" t="s">
        <v>60</v>
      </c>
      <c r="AS35">
        <v>0</v>
      </c>
      <c r="AT35">
        <v>0</v>
      </c>
    </row>
    <row r="36" spans="1:46" x14ac:dyDescent="0.5">
      <c r="A36" s="1">
        <v>35</v>
      </c>
      <c r="B36" s="1" t="s">
        <v>11</v>
      </c>
      <c r="C36" s="1" t="s">
        <v>4</v>
      </c>
      <c r="D36" s="1">
        <v>14.94</v>
      </c>
      <c r="E36" s="1">
        <v>2.4E-2</v>
      </c>
      <c r="G36" t="s">
        <v>28</v>
      </c>
      <c r="H36">
        <f>SUM(E73:E74)</f>
        <v>4.0000000000000001E-3</v>
      </c>
      <c r="I36">
        <f t="shared" si="0"/>
        <v>0.4210526315789474</v>
      </c>
      <c r="P36">
        <v>2</v>
      </c>
      <c r="Q36" t="s">
        <v>28</v>
      </c>
      <c r="R36">
        <v>4.0000000000000001E-3</v>
      </c>
      <c r="S36">
        <f t="shared" si="2"/>
        <v>0.4210526315789474</v>
      </c>
      <c r="Z36" t="s">
        <v>28</v>
      </c>
      <c r="AA36" s="1">
        <v>0</v>
      </c>
      <c r="AB36">
        <f t="shared" si="4"/>
        <v>0</v>
      </c>
      <c r="AI36" s="4" t="s">
        <v>28</v>
      </c>
      <c r="AJ36">
        <v>0</v>
      </c>
      <c r="AK36">
        <f t="shared" si="6"/>
        <v>0</v>
      </c>
      <c r="AR36" s="4" t="s">
        <v>28</v>
      </c>
      <c r="AS36">
        <v>0</v>
      </c>
      <c r="AT36">
        <v>0</v>
      </c>
    </row>
    <row r="37" spans="1:46" x14ac:dyDescent="0.5">
      <c r="A37" s="1">
        <v>36</v>
      </c>
      <c r="B37" s="1" t="s">
        <v>11</v>
      </c>
      <c r="C37" s="1" t="s">
        <v>8</v>
      </c>
      <c r="D37" s="1">
        <v>10.210000000000001</v>
      </c>
      <c r="E37" s="1">
        <v>3.0000000000000001E-3</v>
      </c>
      <c r="G37" t="s">
        <v>61</v>
      </c>
      <c r="H37">
        <v>0</v>
      </c>
      <c r="I37">
        <f t="shared" si="0"/>
        <v>0</v>
      </c>
      <c r="Q37" t="s">
        <v>61</v>
      </c>
      <c r="R37">
        <v>0</v>
      </c>
      <c r="S37">
        <f t="shared" si="2"/>
        <v>0</v>
      </c>
      <c r="Z37" t="s">
        <v>61</v>
      </c>
      <c r="AA37" s="1">
        <v>0</v>
      </c>
      <c r="AB37">
        <f t="shared" si="4"/>
        <v>0</v>
      </c>
      <c r="AI37" s="4" t="s">
        <v>61</v>
      </c>
      <c r="AJ37">
        <v>0</v>
      </c>
      <c r="AK37">
        <f t="shared" si="6"/>
        <v>0</v>
      </c>
      <c r="AR37" s="4" t="s">
        <v>61</v>
      </c>
      <c r="AS37">
        <v>0</v>
      </c>
      <c r="AT37">
        <v>0</v>
      </c>
    </row>
    <row r="38" spans="1:46" x14ac:dyDescent="0.5">
      <c r="A38" s="1">
        <v>37</v>
      </c>
      <c r="B38" s="1" t="s">
        <v>12</v>
      </c>
      <c r="C38" s="1" t="s">
        <v>4</v>
      </c>
      <c r="D38" s="1">
        <v>16.78</v>
      </c>
      <c r="E38" s="1">
        <v>3.7999999999999999E-2</v>
      </c>
      <c r="G38" t="s">
        <v>29</v>
      </c>
      <c r="H38">
        <v>9.9999999999999992E-2</v>
      </c>
      <c r="I38">
        <f t="shared" si="0"/>
        <v>10.526315789473683</v>
      </c>
      <c r="Q38" t="s">
        <v>29</v>
      </c>
      <c r="R38">
        <v>0</v>
      </c>
      <c r="S38">
        <f t="shared" si="2"/>
        <v>0</v>
      </c>
      <c r="Z38" t="s">
        <v>29</v>
      </c>
      <c r="AA38" s="1">
        <v>1.2999999999999999E-2</v>
      </c>
      <c r="AB38">
        <f t="shared" si="4"/>
        <v>1.368421052631579</v>
      </c>
      <c r="AI38" s="4" t="s">
        <v>29</v>
      </c>
      <c r="AJ38">
        <v>8.6999999999999994E-2</v>
      </c>
      <c r="AK38">
        <f t="shared" si="6"/>
        <v>9.1578947368421044</v>
      </c>
      <c r="AR38" s="4" t="s">
        <v>29</v>
      </c>
      <c r="AS38">
        <v>0</v>
      </c>
      <c r="AT38">
        <v>0</v>
      </c>
    </row>
    <row r="39" spans="1:46" x14ac:dyDescent="0.5">
      <c r="A39" s="1">
        <v>38</v>
      </c>
      <c r="B39" s="1" t="s">
        <v>13</v>
      </c>
      <c r="C39" s="1" t="s">
        <v>4</v>
      </c>
      <c r="D39" s="1">
        <v>13.27</v>
      </c>
      <c r="E39" s="1">
        <v>1.2999999999999999E-2</v>
      </c>
      <c r="G39" t="s">
        <v>30</v>
      </c>
      <c r="H39">
        <f>SUM(E76:E77)</f>
        <v>1.6E-2</v>
      </c>
      <c r="I39">
        <f t="shared" si="0"/>
        <v>1.6842105263157896</v>
      </c>
      <c r="Q39" t="s">
        <v>30</v>
      </c>
      <c r="R39">
        <v>0</v>
      </c>
      <c r="S39">
        <f t="shared" si="2"/>
        <v>0</v>
      </c>
      <c r="Z39" t="s">
        <v>30</v>
      </c>
      <c r="AA39">
        <v>1.6E-2</v>
      </c>
      <c r="AB39">
        <f t="shared" si="4"/>
        <v>1.6842105263157896</v>
      </c>
      <c r="AI39" s="4" t="s">
        <v>30</v>
      </c>
      <c r="AJ39">
        <v>0</v>
      </c>
      <c r="AK39">
        <f t="shared" si="6"/>
        <v>0</v>
      </c>
      <c r="AR39" s="4" t="s">
        <v>30</v>
      </c>
      <c r="AS39">
        <v>0</v>
      </c>
      <c r="AT39">
        <v>0</v>
      </c>
    </row>
    <row r="40" spans="1:46" x14ac:dyDescent="0.5">
      <c r="A40" s="1">
        <v>39</v>
      </c>
      <c r="B40" s="1" t="s">
        <v>14</v>
      </c>
      <c r="C40" s="1" t="s">
        <v>4</v>
      </c>
      <c r="D40" s="1">
        <v>10.26</v>
      </c>
      <c r="E40" s="1">
        <v>8.0000000000000002E-3</v>
      </c>
      <c r="G40" t="s">
        <v>62</v>
      </c>
      <c r="H40" s="1">
        <v>5.5E-2</v>
      </c>
      <c r="I40">
        <f t="shared" si="0"/>
        <v>5.7894736842105265</v>
      </c>
      <c r="P40">
        <v>1</v>
      </c>
      <c r="Q40" t="s">
        <v>62</v>
      </c>
      <c r="R40">
        <v>5.5E-2</v>
      </c>
      <c r="S40">
        <f t="shared" si="2"/>
        <v>5.7894736842105265</v>
      </c>
      <c r="Z40" t="s">
        <v>62</v>
      </c>
      <c r="AA40" s="1">
        <v>0</v>
      </c>
      <c r="AB40">
        <f t="shared" si="4"/>
        <v>0</v>
      </c>
      <c r="AI40" s="4" t="s">
        <v>62</v>
      </c>
      <c r="AJ40">
        <v>0</v>
      </c>
      <c r="AK40">
        <f t="shared" si="6"/>
        <v>0</v>
      </c>
      <c r="AR40" s="4" t="s">
        <v>62</v>
      </c>
      <c r="AS40">
        <v>0</v>
      </c>
      <c r="AT40">
        <v>0</v>
      </c>
    </row>
    <row r="41" spans="1:46" x14ac:dyDescent="0.5">
      <c r="A41" s="1">
        <v>40</v>
      </c>
      <c r="B41" s="1" t="s">
        <v>14</v>
      </c>
      <c r="C41" s="1" t="s">
        <v>4</v>
      </c>
      <c r="D41" s="1">
        <v>10.67</v>
      </c>
      <c r="E41" s="1">
        <v>5.0000000000000001E-3</v>
      </c>
      <c r="G41" t="s">
        <v>63</v>
      </c>
      <c r="H41">
        <v>0</v>
      </c>
      <c r="I41">
        <f t="shared" si="0"/>
        <v>0</v>
      </c>
      <c r="Q41" t="s">
        <v>63</v>
      </c>
      <c r="R41">
        <v>0</v>
      </c>
      <c r="S41">
        <f t="shared" si="2"/>
        <v>0</v>
      </c>
      <c r="Z41" t="s">
        <v>63</v>
      </c>
      <c r="AA41" s="1">
        <v>0</v>
      </c>
      <c r="AB41">
        <f>AA41/$J$1</f>
        <v>0</v>
      </c>
      <c r="AI41" s="4" t="s">
        <v>63</v>
      </c>
      <c r="AJ41">
        <v>0</v>
      </c>
      <c r="AK41">
        <f t="shared" si="6"/>
        <v>0</v>
      </c>
      <c r="AR41" s="4" t="s">
        <v>63</v>
      </c>
      <c r="AS41">
        <v>0</v>
      </c>
      <c r="AT41">
        <v>0</v>
      </c>
    </row>
    <row r="42" spans="1:46" x14ac:dyDescent="0.5">
      <c r="A42" s="1">
        <v>41</v>
      </c>
      <c r="B42" s="1" t="s">
        <v>14</v>
      </c>
      <c r="C42" s="1" t="s">
        <v>4</v>
      </c>
      <c r="D42" s="1">
        <v>7.05</v>
      </c>
      <c r="E42" s="1">
        <v>1E-3</v>
      </c>
      <c r="G42" t="s">
        <v>64</v>
      </c>
      <c r="H42">
        <v>0</v>
      </c>
      <c r="I42">
        <f t="shared" si="0"/>
        <v>0</v>
      </c>
      <c r="Q42" t="s">
        <v>64</v>
      </c>
      <c r="R42">
        <v>0</v>
      </c>
      <c r="S42">
        <f t="shared" si="2"/>
        <v>0</v>
      </c>
      <c r="Z42" t="s">
        <v>64</v>
      </c>
      <c r="AA42" s="1">
        <v>0</v>
      </c>
      <c r="AB42">
        <f t="shared" si="4"/>
        <v>0</v>
      </c>
      <c r="AI42" s="4" t="s">
        <v>64</v>
      </c>
      <c r="AJ42">
        <v>0</v>
      </c>
      <c r="AK42">
        <f t="shared" si="6"/>
        <v>0</v>
      </c>
      <c r="AR42" s="4" t="s">
        <v>64</v>
      </c>
      <c r="AS42">
        <v>0</v>
      </c>
      <c r="AT42">
        <v>0</v>
      </c>
    </row>
    <row r="43" spans="1:46" x14ac:dyDescent="0.5">
      <c r="A43" s="1">
        <v>42</v>
      </c>
      <c r="B43" s="1" t="s">
        <v>14</v>
      </c>
      <c r="C43" s="1" t="s">
        <v>8</v>
      </c>
      <c r="D43" s="1">
        <v>13.45</v>
      </c>
      <c r="E43" s="1">
        <v>1.0999999999999999E-2</v>
      </c>
      <c r="G43" t="s">
        <v>65</v>
      </c>
      <c r="H43">
        <v>0</v>
      </c>
      <c r="I43">
        <f t="shared" si="0"/>
        <v>0</v>
      </c>
      <c r="Q43" t="s">
        <v>65</v>
      </c>
      <c r="R43">
        <v>0</v>
      </c>
      <c r="S43">
        <f t="shared" si="2"/>
        <v>0</v>
      </c>
      <c r="Z43" t="s">
        <v>65</v>
      </c>
      <c r="AA43" s="1">
        <v>0</v>
      </c>
      <c r="AB43">
        <f t="shared" si="4"/>
        <v>0</v>
      </c>
      <c r="AI43" s="4" t="s">
        <v>65</v>
      </c>
      <c r="AJ43">
        <v>0</v>
      </c>
      <c r="AK43">
        <f t="shared" si="6"/>
        <v>0</v>
      </c>
      <c r="AR43" s="4" t="s">
        <v>65</v>
      </c>
      <c r="AS43">
        <v>0</v>
      </c>
      <c r="AT43">
        <v>0</v>
      </c>
    </row>
    <row r="44" spans="1:46" x14ac:dyDescent="0.5">
      <c r="A44" s="1">
        <v>43</v>
      </c>
      <c r="B44" s="1" t="s">
        <v>15</v>
      </c>
      <c r="C44" s="1" t="s">
        <v>8</v>
      </c>
      <c r="D44" s="1">
        <v>11.84</v>
      </c>
      <c r="E44" s="1">
        <v>5.0000000000000001E-3</v>
      </c>
      <c r="G44" t="s">
        <v>66</v>
      </c>
      <c r="H44">
        <v>5.6000000000000001E-2</v>
      </c>
      <c r="I44">
        <f t="shared" si="0"/>
        <v>5.8947368421052637</v>
      </c>
      <c r="Q44" t="s">
        <v>66</v>
      </c>
      <c r="R44">
        <v>0</v>
      </c>
      <c r="S44">
        <f t="shared" si="2"/>
        <v>0</v>
      </c>
      <c r="Z44" t="s">
        <v>66</v>
      </c>
      <c r="AA44" s="1">
        <v>0</v>
      </c>
      <c r="AB44">
        <f t="shared" si="4"/>
        <v>0</v>
      </c>
      <c r="AI44" s="4" t="s">
        <v>66</v>
      </c>
      <c r="AJ44">
        <v>5.5999999999999999E-3</v>
      </c>
      <c r="AK44">
        <f t="shared" si="6"/>
        <v>0.58947368421052637</v>
      </c>
      <c r="AR44" s="4" t="s">
        <v>66</v>
      </c>
      <c r="AS44">
        <v>0</v>
      </c>
      <c r="AT44">
        <v>0</v>
      </c>
    </row>
    <row r="45" spans="1:46" x14ac:dyDescent="0.5">
      <c r="A45" s="1">
        <v>44</v>
      </c>
      <c r="B45" s="1" t="s">
        <v>16</v>
      </c>
      <c r="C45" s="1" t="s">
        <v>8</v>
      </c>
      <c r="D45" s="1">
        <v>9.8000000000000007</v>
      </c>
      <c r="E45" s="1">
        <v>8.0000000000000002E-3</v>
      </c>
      <c r="G45" t="s">
        <v>67</v>
      </c>
      <c r="H45">
        <v>0</v>
      </c>
      <c r="I45">
        <f t="shared" si="0"/>
        <v>0</v>
      </c>
      <c r="Q45" t="s">
        <v>67</v>
      </c>
      <c r="R45">
        <v>0</v>
      </c>
      <c r="S45">
        <f t="shared" si="2"/>
        <v>0</v>
      </c>
      <c r="Z45" t="s">
        <v>67</v>
      </c>
      <c r="AA45" s="1">
        <v>0</v>
      </c>
      <c r="AB45">
        <f t="shared" si="4"/>
        <v>0</v>
      </c>
      <c r="AI45" s="4" t="s">
        <v>67</v>
      </c>
      <c r="AJ45">
        <v>0</v>
      </c>
      <c r="AK45">
        <f>AJ45/$J$1</f>
        <v>0</v>
      </c>
      <c r="AR45" s="4" t="s">
        <v>67</v>
      </c>
      <c r="AS45">
        <v>0</v>
      </c>
      <c r="AT45">
        <v>0</v>
      </c>
    </row>
    <row r="46" spans="1:46" x14ac:dyDescent="0.5">
      <c r="A46" s="1">
        <v>45</v>
      </c>
      <c r="B46" s="1" t="s">
        <v>17</v>
      </c>
      <c r="C46" s="1" t="s">
        <v>4</v>
      </c>
      <c r="D46" s="1">
        <v>14.23</v>
      </c>
      <c r="E46" s="1">
        <v>0.02</v>
      </c>
      <c r="G46" t="s">
        <v>68</v>
      </c>
      <c r="H46">
        <v>0</v>
      </c>
      <c r="I46">
        <f t="shared" si="0"/>
        <v>0</v>
      </c>
      <c r="Q46" t="s">
        <v>68</v>
      </c>
      <c r="R46">
        <v>0</v>
      </c>
      <c r="S46">
        <f t="shared" si="2"/>
        <v>0</v>
      </c>
      <c r="Z46" t="s">
        <v>68</v>
      </c>
      <c r="AA46" s="1">
        <v>0</v>
      </c>
      <c r="AB46">
        <f t="shared" si="4"/>
        <v>0</v>
      </c>
      <c r="AI46" s="4" t="s">
        <v>68</v>
      </c>
      <c r="AJ46">
        <v>0</v>
      </c>
      <c r="AK46">
        <f t="shared" si="6"/>
        <v>0</v>
      </c>
      <c r="AR46" s="4" t="s">
        <v>68</v>
      </c>
      <c r="AS46">
        <v>0</v>
      </c>
      <c r="AT46">
        <v>0</v>
      </c>
    </row>
    <row r="47" spans="1:46" x14ac:dyDescent="0.5">
      <c r="A47" s="1">
        <v>46</v>
      </c>
      <c r="B47" s="1" t="s">
        <v>18</v>
      </c>
      <c r="C47" s="1" t="s">
        <v>4</v>
      </c>
      <c r="D47" s="1">
        <v>16.829999999999998</v>
      </c>
      <c r="E47" s="1">
        <v>2.9000000000000001E-2</v>
      </c>
      <c r="G47" t="s">
        <v>21</v>
      </c>
      <c r="H47">
        <f>SUM(E58:E61)</f>
        <v>6.5000000000000002E-2</v>
      </c>
      <c r="I47">
        <f t="shared" si="0"/>
        <v>6.8421052631578956</v>
      </c>
      <c r="P47">
        <v>3</v>
      </c>
      <c r="Q47" t="s">
        <v>21</v>
      </c>
      <c r="R47">
        <f>SUM(E58:E61)</f>
        <v>6.5000000000000002E-2</v>
      </c>
      <c r="S47">
        <f t="shared" si="2"/>
        <v>6.8421052631578956</v>
      </c>
      <c r="Z47" t="s">
        <v>21</v>
      </c>
      <c r="AA47" s="1">
        <v>0</v>
      </c>
      <c r="AB47">
        <f t="shared" si="4"/>
        <v>0</v>
      </c>
      <c r="AI47" s="4" t="s">
        <v>21</v>
      </c>
      <c r="AJ47">
        <v>0</v>
      </c>
      <c r="AK47">
        <f t="shared" si="6"/>
        <v>0</v>
      </c>
      <c r="AR47" s="4" t="s">
        <v>21</v>
      </c>
      <c r="AS47">
        <v>0</v>
      </c>
      <c r="AT47">
        <v>0</v>
      </c>
    </row>
    <row r="48" spans="1:46" x14ac:dyDescent="0.5">
      <c r="A48" s="1">
        <v>47</v>
      </c>
      <c r="B48" s="1" t="s">
        <v>18</v>
      </c>
      <c r="C48" s="1" t="s">
        <v>8</v>
      </c>
      <c r="D48" s="1">
        <v>10.119999999999999</v>
      </c>
      <c r="E48" s="1">
        <v>3.0000000000000001E-3</v>
      </c>
      <c r="G48" t="s">
        <v>22</v>
      </c>
      <c r="H48">
        <f>SUM(E62:E65)</f>
        <v>7.4999999999999997E-2</v>
      </c>
      <c r="I48">
        <f t="shared" si="0"/>
        <v>7.8947368421052628</v>
      </c>
      <c r="P48">
        <v>4</v>
      </c>
      <c r="Q48" t="s">
        <v>22</v>
      </c>
      <c r="R48">
        <f>SUM(E62:E65)</f>
        <v>7.4999999999999997E-2</v>
      </c>
      <c r="S48">
        <f>R48/$J$1</f>
        <v>7.8947368421052628</v>
      </c>
      <c r="Z48" t="s">
        <v>22</v>
      </c>
      <c r="AA48" s="1">
        <v>0</v>
      </c>
      <c r="AB48">
        <f t="shared" si="4"/>
        <v>0</v>
      </c>
      <c r="AI48" s="4" t="s">
        <v>22</v>
      </c>
      <c r="AJ48">
        <v>0</v>
      </c>
      <c r="AK48">
        <f t="shared" si="6"/>
        <v>0</v>
      </c>
      <c r="AR48" s="4" t="s">
        <v>22</v>
      </c>
      <c r="AS48">
        <v>0</v>
      </c>
      <c r="AT48">
        <v>0</v>
      </c>
    </row>
    <row r="49" spans="1:46" x14ac:dyDescent="0.5">
      <c r="A49" s="1">
        <v>48</v>
      </c>
      <c r="B49" s="1" t="s">
        <v>18</v>
      </c>
      <c r="C49" s="1" t="s">
        <v>8</v>
      </c>
      <c r="D49" s="1">
        <v>9.1199999999999992</v>
      </c>
      <c r="E49" s="1">
        <v>1E-3</v>
      </c>
      <c r="G49" t="s">
        <v>23</v>
      </c>
      <c r="H49">
        <v>1.6E-2</v>
      </c>
      <c r="I49">
        <f t="shared" si="0"/>
        <v>1.6842105263157896</v>
      </c>
      <c r="P49">
        <v>1</v>
      </c>
      <c r="Q49" t="s">
        <v>23</v>
      </c>
      <c r="R49">
        <v>1.6E-2</v>
      </c>
      <c r="S49">
        <f t="shared" si="2"/>
        <v>1.6842105263157896</v>
      </c>
      <c r="Z49" t="s">
        <v>23</v>
      </c>
      <c r="AA49" s="1">
        <v>0</v>
      </c>
      <c r="AB49">
        <f t="shared" si="4"/>
        <v>0</v>
      </c>
      <c r="AI49" s="4" t="s">
        <v>23</v>
      </c>
      <c r="AJ49">
        <v>0</v>
      </c>
      <c r="AK49">
        <f t="shared" si="6"/>
        <v>0</v>
      </c>
      <c r="AR49" s="4" t="s">
        <v>23</v>
      </c>
      <c r="AS49">
        <v>0</v>
      </c>
      <c r="AT49">
        <v>0</v>
      </c>
    </row>
    <row r="50" spans="1:46" x14ac:dyDescent="0.5">
      <c r="A50" s="1">
        <v>49</v>
      </c>
      <c r="B50" s="1" t="s">
        <v>18</v>
      </c>
      <c r="C50" s="1" t="s">
        <v>8</v>
      </c>
      <c r="D50" s="1">
        <v>9.6199999999999992</v>
      </c>
      <c r="E50" s="1">
        <v>2E-3</v>
      </c>
      <c r="G50" t="s">
        <v>24</v>
      </c>
      <c r="H50">
        <f>SUM(E67:E68)</f>
        <v>1.7999999999999999E-2</v>
      </c>
      <c r="I50">
        <f t="shared" si="0"/>
        <v>1.8947368421052631</v>
      </c>
      <c r="P50">
        <v>3</v>
      </c>
      <c r="Q50" t="s">
        <v>24</v>
      </c>
      <c r="R50">
        <f>SUM(E67:E68)</f>
        <v>1.7999999999999999E-2</v>
      </c>
      <c r="S50">
        <f t="shared" si="2"/>
        <v>1.8947368421052631</v>
      </c>
      <c r="Z50" t="s">
        <v>24</v>
      </c>
      <c r="AA50" s="1">
        <v>0</v>
      </c>
      <c r="AB50">
        <f t="shared" si="4"/>
        <v>0</v>
      </c>
      <c r="AI50" s="4" t="s">
        <v>24</v>
      </c>
      <c r="AJ50">
        <v>0</v>
      </c>
      <c r="AK50">
        <f t="shared" si="6"/>
        <v>0</v>
      </c>
      <c r="AR50" s="4" t="s">
        <v>24</v>
      </c>
      <c r="AS50">
        <v>0</v>
      </c>
      <c r="AT50">
        <v>0</v>
      </c>
    </row>
    <row r="51" spans="1:46" x14ac:dyDescent="0.5">
      <c r="A51" s="1">
        <v>50</v>
      </c>
      <c r="B51" s="1" t="s">
        <v>19</v>
      </c>
      <c r="C51" s="1" t="s">
        <v>4</v>
      </c>
      <c r="D51" s="1">
        <v>13.23</v>
      </c>
      <c r="E51" s="1">
        <v>1.2E-2</v>
      </c>
      <c r="G51" t="s">
        <v>69</v>
      </c>
      <c r="H51">
        <v>0</v>
      </c>
      <c r="I51">
        <f t="shared" si="0"/>
        <v>0</v>
      </c>
      <c r="Q51" t="s">
        <v>69</v>
      </c>
      <c r="R51">
        <v>0</v>
      </c>
      <c r="S51">
        <f t="shared" si="2"/>
        <v>0</v>
      </c>
      <c r="Z51" t="s">
        <v>69</v>
      </c>
      <c r="AA51" s="1">
        <v>0</v>
      </c>
      <c r="AB51">
        <f t="shared" si="4"/>
        <v>0</v>
      </c>
      <c r="AI51" s="4" t="s">
        <v>69</v>
      </c>
      <c r="AJ51">
        <v>0</v>
      </c>
      <c r="AK51">
        <f t="shared" si="6"/>
        <v>0</v>
      </c>
      <c r="AR51" s="4" t="s">
        <v>69</v>
      </c>
      <c r="AS51">
        <v>0</v>
      </c>
      <c r="AT51">
        <v>0</v>
      </c>
    </row>
    <row r="52" spans="1:46" x14ac:dyDescent="0.5">
      <c r="A52" s="1">
        <v>51</v>
      </c>
      <c r="B52" s="1" t="s">
        <v>19</v>
      </c>
      <c r="C52" s="1" t="s">
        <v>8</v>
      </c>
      <c r="D52" s="1">
        <v>11.82</v>
      </c>
      <c r="E52" s="1">
        <v>7.0000000000000001E-3</v>
      </c>
      <c r="AI52" s="4"/>
      <c r="AR52" s="4"/>
    </row>
    <row r="53" spans="1:46" x14ac:dyDescent="0.5">
      <c r="A53" s="1">
        <v>52</v>
      </c>
      <c r="B53" s="1" t="s">
        <v>20</v>
      </c>
      <c r="C53" s="1" t="s">
        <v>4</v>
      </c>
      <c r="D53" s="1">
        <v>13.1</v>
      </c>
      <c r="E53" s="1">
        <v>1.2E-2</v>
      </c>
      <c r="AI53" s="4"/>
      <c r="AR53" s="4"/>
    </row>
    <row r="54" spans="1:46" x14ac:dyDescent="0.5">
      <c r="A54" s="1">
        <v>53</v>
      </c>
      <c r="B54" s="1" t="s">
        <v>20</v>
      </c>
      <c r="C54" s="1" t="s">
        <v>4</v>
      </c>
      <c r="D54" s="1">
        <v>10.99</v>
      </c>
      <c r="E54" s="1">
        <v>8.9999999999999993E-3</v>
      </c>
      <c r="P54">
        <f>SUM(P2:P51)</f>
        <v>60</v>
      </c>
      <c r="Y54" s="1"/>
      <c r="Z54" s="1"/>
      <c r="AA54" s="2"/>
      <c r="AB54" s="1"/>
      <c r="AC54" s="1"/>
      <c r="AD54" s="1"/>
      <c r="AE54" s="1"/>
      <c r="AI54" s="1"/>
      <c r="AR54" s="1"/>
    </row>
    <row r="55" spans="1:46" x14ac:dyDescent="0.5">
      <c r="A55" s="1">
        <v>54</v>
      </c>
      <c r="B55" s="1" t="s">
        <v>20</v>
      </c>
      <c r="C55" s="1" t="s">
        <v>8</v>
      </c>
      <c r="D55" s="1">
        <v>13.42</v>
      </c>
      <c r="E55" s="1">
        <v>8.9999999999999993E-3</v>
      </c>
      <c r="Y55" s="1"/>
      <c r="Z55" s="1"/>
      <c r="AA55" s="2"/>
      <c r="AB55" s="1"/>
      <c r="AC55" s="1"/>
      <c r="AD55" s="1"/>
      <c r="AE55" s="1"/>
      <c r="AI55" s="1"/>
      <c r="AR55" s="1"/>
    </row>
    <row r="56" spans="1:46" x14ac:dyDescent="0.5">
      <c r="A56" s="1">
        <v>55</v>
      </c>
      <c r="B56" s="1" t="s">
        <v>20</v>
      </c>
      <c r="C56" s="1" t="s">
        <v>8</v>
      </c>
      <c r="D56" s="1">
        <v>9.16</v>
      </c>
      <c r="E56" s="1">
        <v>3.0000000000000001E-3</v>
      </c>
      <c r="Y56" s="1"/>
      <c r="Z56" s="1"/>
      <c r="AA56" s="2"/>
      <c r="AB56" s="1"/>
      <c r="AC56" s="1"/>
      <c r="AD56" s="1"/>
      <c r="AE56" s="1"/>
      <c r="AI56" s="1"/>
      <c r="AR56" s="1"/>
    </row>
    <row r="57" spans="1:46" x14ac:dyDescent="0.5">
      <c r="A57" s="1">
        <v>56</v>
      </c>
      <c r="B57" s="1" t="s">
        <v>20</v>
      </c>
      <c r="C57" s="1" t="s">
        <v>8</v>
      </c>
      <c r="D57" s="1">
        <v>8.4600000000000009</v>
      </c>
      <c r="E57" s="1">
        <v>1E-3</v>
      </c>
      <c r="Y57" s="1"/>
      <c r="Z57" s="1"/>
      <c r="AA57" s="2"/>
      <c r="AB57" s="1"/>
      <c r="AC57" s="1"/>
      <c r="AD57" s="1"/>
      <c r="AE57" s="1"/>
      <c r="AI57" s="1"/>
      <c r="AR57" s="1"/>
    </row>
    <row r="58" spans="1:46" x14ac:dyDescent="0.5">
      <c r="A58" s="1">
        <v>57</v>
      </c>
      <c r="B58" s="1" t="s">
        <v>21</v>
      </c>
      <c r="C58" s="1" t="s">
        <v>4</v>
      </c>
      <c r="D58" s="1">
        <v>17.54</v>
      </c>
      <c r="E58" s="1">
        <v>4.1000000000000002E-2</v>
      </c>
      <c r="G58" s="1"/>
      <c r="H58" s="1"/>
      <c r="Q58" s="1"/>
      <c r="Y58" s="1"/>
      <c r="Z58" s="1"/>
      <c r="AA58" s="2"/>
      <c r="AB58" s="1"/>
      <c r="AC58" s="1"/>
      <c r="AD58" s="1"/>
      <c r="AE58" s="1"/>
      <c r="AI58" s="1"/>
      <c r="AR58" s="1"/>
    </row>
    <row r="59" spans="1:46" x14ac:dyDescent="0.5">
      <c r="A59" s="1">
        <v>58</v>
      </c>
      <c r="B59" s="1" t="s">
        <v>21</v>
      </c>
      <c r="C59" s="1" t="s">
        <v>4</v>
      </c>
      <c r="D59" s="1">
        <v>13.89</v>
      </c>
      <c r="E59" s="1">
        <v>1.2E-2</v>
      </c>
      <c r="G59" s="1"/>
      <c r="H59" s="1"/>
      <c r="Q59" s="1"/>
      <c r="Y59" s="1"/>
      <c r="Z59" s="1"/>
      <c r="AA59" s="2"/>
      <c r="AB59" s="1"/>
      <c r="AC59" s="1"/>
      <c r="AD59" s="1"/>
      <c r="AE59" s="1"/>
      <c r="AI59" s="1"/>
      <c r="AR59" s="1"/>
    </row>
    <row r="60" spans="1:46" x14ac:dyDescent="0.5">
      <c r="A60" s="1">
        <v>59</v>
      </c>
      <c r="B60" s="1" t="s">
        <v>21</v>
      </c>
      <c r="C60" s="1" t="s">
        <v>4</v>
      </c>
      <c r="D60" s="1">
        <v>12.96</v>
      </c>
      <c r="E60" s="1">
        <v>1.2E-2</v>
      </c>
      <c r="G60" s="1"/>
      <c r="Q60" s="1"/>
      <c r="Y60" s="1"/>
      <c r="Z60" s="1"/>
      <c r="AA60" s="2"/>
      <c r="AB60" s="1"/>
      <c r="AC60" s="1"/>
      <c r="AD60" s="1"/>
      <c r="AE60" s="1"/>
      <c r="AI60" s="1"/>
      <c r="AR60" s="1"/>
    </row>
    <row r="61" spans="1:46" x14ac:dyDescent="0.5">
      <c r="A61" s="1">
        <v>60</v>
      </c>
      <c r="B61" s="1" t="s">
        <v>21</v>
      </c>
      <c r="C61" s="1" t="s">
        <v>4</v>
      </c>
      <c r="D61" s="1">
        <v>8.09</v>
      </c>
      <c r="E61" s="1">
        <v>0</v>
      </c>
      <c r="G61" s="1"/>
      <c r="Q61" s="1"/>
      <c r="Y61" s="1"/>
      <c r="Z61" s="1"/>
      <c r="AA61" s="2"/>
      <c r="AB61" s="1"/>
      <c r="AC61" s="1"/>
      <c r="AD61" s="1"/>
      <c r="AE61" s="1"/>
      <c r="AI61" s="1"/>
      <c r="AR61" s="1"/>
    </row>
    <row r="62" spans="1:46" x14ac:dyDescent="0.5">
      <c r="A62" s="1">
        <v>61</v>
      </c>
      <c r="B62" s="1" t="s">
        <v>22</v>
      </c>
      <c r="C62" s="1" t="s">
        <v>4</v>
      </c>
      <c r="D62" s="1">
        <v>16.87</v>
      </c>
      <c r="E62" s="1">
        <v>3.5999999999999997E-2</v>
      </c>
      <c r="G62" s="1"/>
      <c r="Q62" s="1"/>
      <c r="Y62" s="1"/>
      <c r="Z62" s="1"/>
      <c r="AA62" s="2"/>
      <c r="AB62" s="1"/>
      <c r="AC62" s="1"/>
      <c r="AD62" s="1"/>
      <c r="AE62" s="1"/>
      <c r="AI62" s="1"/>
      <c r="AR62" s="1"/>
    </row>
    <row r="63" spans="1:46" x14ac:dyDescent="0.5">
      <c r="A63" s="1">
        <v>62</v>
      </c>
      <c r="B63" s="1" t="s">
        <v>22</v>
      </c>
      <c r="C63" s="1" t="s">
        <v>4</v>
      </c>
      <c r="D63" s="1">
        <v>13.76</v>
      </c>
      <c r="E63" s="1">
        <v>1.9E-2</v>
      </c>
      <c r="G63" s="1"/>
      <c r="Q63" s="1"/>
      <c r="Y63" s="1"/>
      <c r="Z63" s="1"/>
      <c r="AA63" s="2"/>
      <c r="AB63" s="1"/>
      <c r="AC63" s="1"/>
      <c r="AD63" s="1"/>
      <c r="AE63" s="1"/>
      <c r="AI63" s="1"/>
      <c r="AR63" s="1"/>
    </row>
    <row r="64" spans="1:46" x14ac:dyDescent="0.5">
      <c r="A64" s="1">
        <v>63</v>
      </c>
      <c r="B64" s="1" t="s">
        <v>22</v>
      </c>
      <c r="C64" s="1" t="s">
        <v>4</v>
      </c>
      <c r="D64" s="1">
        <v>12.98</v>
      </c>
      <c r="E64" s="1">
        <v>1.2999999999999999E-2</v>
      </c>
      <c r="G64" s="1"/>
      <c r="Q64" s="1"/>
      <c r="Y64" s="1"/>
      <c r="Z64" s="1"/>
      <c r="AA64" s="2"/>
      <c r="AB64" s="1"/>
      <c r="AC64" s="1"/>
      <c r="AD64" s="1"/>
      <c r="AE64" s="1"/>
      <c r="AI64" s="1"/>
      <c r="AR64" s="1"/>
    </row>
    <row r="65" spans="1:44" x14ac:dyDescent="0.5">
      <c r="A65" s="1">
        <v>64</v>
      </c>
      <c r="B65" s="1" t="s">
        <v>22</v>
      </c>
      <c r="C65" s="1" t="s">
        <v>4</v>
      </c>
      <c r="D65" s="1">
        <v>11.02</v>
      </c>
      <c r="E65" s="1">
        <v>7.0000000000000001E-3</v>
      </c>
      <c r="G65" s="1"/>
      <c r="Q65" s="1"/>
      <c r="Y65" s="1"/>
      <c r="Z65" s="1"/>
      <c r="AA65" s="2"/>
      <c r="AB65" s="1"/>
      <c r="AC65" s="1"/>
      <c r="AD65" s="1"/>
      <c r="AE65" s="1"/>
      <c r="AI65" s="1"/>
      <c r="AR65" s="1"/>
    </row>
    <row r="66" spans="1:44" x14ac:dyDescent="0.5">
      <c r="A66" s="1">
        <v>65</v>
      </c>
      <c r="B66" s="1" t="s">
        <v>23</v>
      </c>
      <c r="C66" s="1" t="s">
        <v>4</v>
      </c>
      <c r="D66" s="1">
        <v>12.86</v>
      </c>
      <c r="E66" s="1">
        <v>1.6E-2</v>
      </c>
      <c r="G66" s="1"/>
      <c r="Q66" s="1"/>
      <c r="Y66" s="1"/>
      <c r="Z66" s="1"/>
      <c r="AA66" s="2"/>
      <c r="AB66" s="1"/>
      <c r="AC66" s="1"/>
      <c r="AD66" s="1"/>
      <c r="AE66" s="1"/>
      <c r="AI66" s="1"/>
      <c r="AR66" s="1"/>
    </row>
    <row r="67" spans="1:44" x14ac:dyDescent="0.5">
      <c r="A67" s="1">
        <v>66</v>
      </c>
      <c r="B67" s="1" t="s">
        <v>24</v>
      </c>
      <c r="C67" s="1" t="s">
        <v>4</v>
      </c>
      <c r="D67" s="1">
        <v>12.26</v>
      </c>
      <c r="E67" s="1">
        <v>1.4999999999999999E-2</v>
      </c>
      <c r="G67" s="1"/>
      <c r="Q67" s="1"/>
      <c r="Y67" s="1"/>
      <c r="Z67" s="1"/>
      <c r="AA67" s="2"/>
      <c r="AB67" s="1"/>
      <c r="AC67" s="1"/>
      <c r="AD67" s="1"/>
      <c r="AE67" s="1"/>
      <c r="AI67" s="1"/>
      <c r="AR67" s="1"/>
    </row>
    <row r="68" spans="1:44" x14ac:dyDescent="0.5">
      <c r="A68" s="1">
        <v>67</v>
      </c>
      <c r="B68" s="1" t="s">
        <v>24</v>
      </c>
      <c r="C68" s="1" t="s">
        <v>4</v>
      </c>
      <c r="D68" s="1">
        <v>8.9</v>
      </c>
      <c r="E68" s="1">
        <v>3.0000000000000001E-3</v>
      </c>
      <c r="G68" s="1"/>
      <c r="Q68" s="1"/>
      <c r="Y68" s="1"/>
      <c r="Z68" s="1"/>
      <c r="AA68" s="2"/>
      <c r="AB68" s="1"/>
      <c r="AC68" s="1"/>
      <c r="AD68" s="1"/>
      <c r="AE68" s="1"/>
      <c r="AI68" s="1"/>
      <c r="AR68" s="1"/>
    </row>
    <row r="69" spans="1:44" x14ac:dyDescent="0.5">
      <c r="A69" s="1">
        <v>68</v>
      </c>
      <c r="B69" s="1" t="s">
        <v>25</v>
      </c>
      <c r="C69" s="1" t="s">
        <v>4</v>
      </c>
      <c r="D69" s="1">
        <v>6.63</v>
      </c>
      <c r="E69" s="1">
        <v>1E-3</v>
      </c>
      <c r="G69" s="1"/>
      <c r="Q69" s="1"/>
      <c r="Y69" s="1"/>
      <c r="Z69" s="1"/>
      <c r="AA69" s="1"/>
      <c r="AB69" s="1"/>
      <c r="AC69" s="1"/>
      <c r="AD69" s="1"/>
      <c r="AE69" s="1"/>
      <c r="AI69" s="1"/>
      <c r="AR69" s="1"/>
    </row>
    <row r="70" spans="1:44" x14ac:dyDescent="0.5">
      <c r="A70" s="1">
        <v>69</v>
      </c>
      <c r="B70" s="1" t="s">
        <v>25</v>
      </c>
      <c r="C70" s="1" t="s">
        <v>8</v>
      </c>
      <c r="D70" s="1">
        <v>14.78</v>
      </c>
      <c r="E70" s="1">
        <v>0.01</v>
      </c>
      <c r="G70" s="1"/>
      <c r="Q70" s="1"/>
      <c r="Y70" s="1"/>
      <c r="Z70" s="1"/>
      <c r="AA70" s="2"/>
      <c r="AB70" s="1"/>
      <c r="AC70" s="1"/>
      <c r="AD70" s="1"/>
      <c r="AE70" s="1"/>
      <c r="AI70" s="1"/>
      <c r="AR70" s="1"/>
    </row>
    <row r="71" spans="1:44" x14ac:dyDescent="0.5">
      <c r="A71" s="1">
        <v>70</v>
      </c>
      <c r="B71" s="1" t="s">
        <v>26</v>
      </c>
      <c r="C71" s="1" t="s">
        <v>8</v>
      </c>
      <c r="D71" s="1">
        <v>10.41</v>
      </c>
      <c r="E71" s="1">
        <v>5.0000000000000001E-3</v>
      </c>
      <c r="G71" s="1"/>
      <c r="Q71" s="1"/>
      <c r="Y71" s="1"/>
      <c r="Z71" s="1"/>
      <c r="AA71" s="2"/>
      <c r="AB71" s="1"/>
      <c r="AC71" s="1"/>
      <c r="AD71" s="1"/>
      <c r="AE71" s="1"/>
      <c r="AI71" s="1"/>
      <c r="AR71" s="1"/>
    </row>
    <row r="72" spans="1:44" x14ac:dyDescent="0.5">
      <c r="A72" s="1">
        <v>71</v>
      </c>
      <c r="B72" s="1" t="s">
        <v>27</v>
      </c>
      <c r="C72" s="1" t="s">
        <v>8</v>
      </c>
      <c r="D72" s="1">
        <v>15.99</v>
      </c>
      <c r="E72" s="1">
        <v>1.4999999999999999E-2</v>
      </c>
      <c r="Y72" s="1"/>
      <c r="Z72" s="1"/>
      <c r="AA72" s="2"/>
      <c r="AB72" s="1"/>
      <c r="AC72" s="1"/>
      <c r="AD72" s="1"/>
      <c r="AE72" s="1"/>
      <c r="AI72" s="1"/>
      <c r="AR72" s="1"/>
    </row>
    <row r="73" spans="1:44" x14ac:dyDescent="0.5">
      <c r="A73" s="1">
        <v>72</v>
      </c>
      <c r="B73" s="1" t="s">
        <v>28</v>
      </c>
      <c r="C73" s="1" t="s">
        <v>4</v>
      </c>
      <c r="D73" s="1">
        <v>7.54</v>
      </c>
      <c r="E73" s="1">
        <v>2E-3</v>
      </c>
      <c r="AI73" s="4"/>
      <c r="AR73" s="4"/>
    </row>
    <row r="74" spans="1:44" x14ac:dyDescent="0.5">
      <c r="A74" s="1">
        <v>73</v>
      </c>
      <c r="B74" s="1" t="s">
        <v>28</v>
      </c>
      <c r="C74" s="1" t="s">
        <v>4</v>
      </c>
      <c r="D74" s="1">
        <v>7.07</v>
      </c>
      <c r="E74" s="1">
        <v>2E-3</v>
      </c>
      <c r="AI74" s="4"/>
      <c r="AR74" s="4"/>
    </row>
    <row r="75" spans="1:44" x14ac:dyDescent="0.5">
      <c r="A75" s="1">
        <v>74</v>
      </c>
      <c r="B75" s="1" t="s">
        <v>29</v>
      </c>
      <c r="C75" s="1" t="s">
        <v>8</v>
      </c>
      <c r="D75" s="1">
        <v>13.44</v>
      </c>
      <c r="E75" s="1">
        <v>1.2999999999999999E-2</v>
      </c>
      <c r="AI75" s="4"/>
      <c r="AR75" s="4"/>
    </row>
    <row r="76" spans="1:44" x14ac:dyDescent="0.5">
      <c r="A76" s="1">
        <v>75</v>
      </c>
      <c r="B76" s="1" t="s">
        <v>30</v>
      </c>
      <c r="C76" s="1" t="s">
        <v>8</v>
      </c>
      <c r="D76" s="1">
        <v>12.71</v>
      </c>
      <c r="E76" s="1">
        <v>8.9999999999999993E-3</v>
      </c>
      <c r="AI76" s="4"/>
      <c r="AR76" s="4"/>
    </row>
    <row r="77" spans="1:44" x14ac:dyDescent="0.5">
      <c r="A77" s="1">
        <v>76</v>
      </c>
      <c r="B77" s="1" t="s">
        <v>30</v>
      </c>
      <c r="C77" s="1" t="s">
        <v>8</v>
      </c>
      <c r="D77" s="1">
        <v>11.91</v>
      </c>
      <c r="E77" s="1">
        <v>7.0000000000000001E-3</v>
      </c>
      <c r="AI77" s="4"/>
      <c r="AR77" s="4"/>
    </row>
    <row r="78" spans="1:44" x14ac:dyDescent="0.5">
      <c r="A78" s="1">
        <v>77</v>
      </c>
      <c r="B78" s="1" t="s">
        <v>31</v>
      </c>
      <c r="C78" s="1" t="s">
        <v>8</v>
      </c>
      <c r="D78" s="1">
        <v>13.01</v>
      </c>
      <c r="E78" s="1">
        <v>1.2E-2</v>
      </c>
      <c r="AI78" s="4"/>
      <c r="AR78" s="4"/>
    </row>
    <row r="79" spans="1:44" x14ac:dyDescent="0.5">
      <c r="A79" s="1">
        <v>78</v>
      </c>
      <c r="B79" s="1" t="s">
        <v>31</v>
      </c>
      <c r="C79" s="1" t="s">
        <v>8</v>
      </c>
      <c r="D79" s="1">
        <v>16.100000000000001</v>
      </c>
      <c r="E79" s="1">
        <v>2.1999999999999999E-2</v>
      </c>
      <c r="AI79" s="4"/>
      <c r="AR79" s="4"/>
    </row>
    <row r="80" spans="1:44" x14ac:dyDescent="0.5">
      <c r="A80" s="1">
        <v>79</v>
      </c>
      <c r="B80" s="1" t="s">
        <v>31</v>
      </c>
      <c r="C80" s="1" t="s">
        <v>8</v>
      </c>
      <c r="D80" s="1">
        <v>11.63</v>
      </c>
      <c r="E80" s="1">
        <v>0.01</v>
      </c>
      <c r="AI80" s="4"/>
      <c r="AR80" s="4"/>
    </row>
    <row r="81" spans="1:44" x14ac:dyDescent="0.5">
      <c r="A81" s="1">
        <v>80</v>
      </c>
      <c r="B81" s="1" t="s">
        <v>31</v>
      </c>
      <c r="C81" s="1" t="s">
        <v>8</v>
      </c>
      <c r="D81" s="1">
        <v>10.78</v>
      </c>
      <c r="E81" s="1">
        <v>6.0000000000000001E-3</v>
      </c>
      <c r="AI81" s="4"/>
      <c r="AR81" s="4"/>
    </row>
    <row r="82" spans="1:44" x14ac:dyDescent="0.5">
      <c r="A82" s="1">
        <v>81</v>
      </c>
      <c r="B82" s="1" t="s">
        <v>31</v>
      </c>
      <c r="C82" s="1" t="s">
        <v>8</v>
      </c>
      <c r="D82" s="1">
        <v>11.7</v>
      </c>
      <c r="E82" s="1">
        <v>8.9999999999999993E-3</v>
      </c>
      <c r="AI82" s="4"/>
      <c r="AR82" s="4"/>
    </row>
    <row r="83" spans="1:44" x14ac:dyDescent="0.5">
      <c r="A83" s="1">
        <v>82</v>
      </c>
      <c r="B83" s="1" t="s">
        <v>32</v>
      </c>
      <c r="C83" s="1" t="s">
        <v>8</v>
      </c>
      <c r="D83" s="1">
        <v>13.64</v>
      </c>
      <c r="E83" s="1">
        <v>1.2E-2</v>
      </c>
      <c r="G83" s="1"/>
      <c r="Q83" s="1"/>
      <c r="Z83" s="1"/>
      <c r="AI83" s="1"/>
      <c r="AR83" s="1"/>
    </row>
    <row r="84" spans="1:44" x14ac:dyDescent="0.5">
      <c r="A84" s="1">
        <v>83</v>
      </c>
      <c r="B84" s="1" t="s">
        <v>33</v>
      </c>
      <c r="C84" s="1" t="s">
        <v>8</v>
      </c>
      <c r="D84" s="1">
        <v>9.66</v>
      </c>
      <c r="E84" s="1">
        <v>5.0000000000000001E-3</v>
      </c>
      <c r="G84" s="1"/>
      <c r="H84" s="1"/>
      <c r="Q84" s="1"/>
      <c r="Z84" s="1"/>
      <c r="AI84" s="1"/>
      <c r="AR84" s="1"/>
    </row>
    <row r="85" spans="1:44" x14ac:dyDescent="0.5">
      <c r="A85" s="1"/>
      <c r="B85" s="1"/>
      <c r="C85" s="1"/>
      <c r="D85" s="1"/>
      <c r="E85" s="1"/>
      <c r="G85" s="1"/>
      <c r="H85" s="1"/>
      <c r="Q85" s="1"/>
      <c r="Z85" s="1"/>
      <c r="AI85" s="1"/>
      <c r="AR85" s="1"/>
    </row>
    <row r="86" spans="1:44" x14ac:dyDescent="0.5">
      <c r="A86" s="5" t="s">
        <v>34</v>
      </c>
      <c r="B86" s="5" t="s">
        <v>3</v>
      </c>
      <c r="C86" s="1" t="s">
        <v>4</v>
      </c>
      <c r="D86" s="1"/>
      <c r="E86" s="1">
        <v>1.4999999999999999E-2</v>
      </c>
      <c r="H86" s="1"/>
      <c r="AI86" s="4"/>
      <c r="AR86" s="4"/>
    </row>
    <row r="87" spans="1:44" x14ac:dyDescent="0.5">
      <c r="A87" s="5" t="s">
        <v>35</v>
      </c>
      <c r="B87" s="5" t="s">
        <v>32</v>
      </c>
      <c r="C87" s="1" t="s">
        <v>8</v>
      </c>
      <c r="D87" s="1"/>
      <c r="E87" s="1">
        <v>6.0000000000000001E-3</v>
      </c>
      <c r="AI87" s="4"/>
      <c r="AR87" s="4"/>
    </row>
    <row r="88" spans="1:44" x14ac:dyDescent="0.5">
      <c r="A88" s="5" t="s">
        <v>36</v>
      </c>
      <c r="B88" s="5" t="s">
        <v>62</v>
      </c>
      <c r="C88" s="1" t="s">
        <v>4</v>
      </c>
      <c r="D88" s="1"/>
      <c r="E88" s="1">
        <v>5.5E-2</v>
      </c>
      <c r="AI88" s="4"/>
      <c r="AR88" s="4"/>
    </row>
    <row r="89" spans="1:44" x14ac:dyDescent="0.5">
      <c r="A89" s="5" t="s">
        <v>37</v>
      </c>
      <c r="B89" s="5" t="s">
        <v>20</v>
      </c>
      <c r="C89" s="1" t="s">
        <v>38</v>
      </c>
      <c r="D89" s="1"/>
      <c r="E89" s="1">
        <v>0</v>
      </c>
      <c r="AI89" s="4"/>
      <c r="AR89" s="4"/>
    </row>
    <row r="90" spans="1:44" x14ac:dyDescent="0.5">
      <c r="A90" s="5" t="s">
        <v>39</v>
      </c>
      <c r="B90" s="5" t="s">
        <v>59</v>
      </c>
      <c r="C90" s="1" t="s">
        <v>38</v>
      </c>
      <c r="D90" s="1"/>
      <c r="E90" s="1">
        <v>2E-3</v>
      </c>
      <c r="AI90" s="4"/>
      <c r="AR90" s="4"/>
    </row>
    <row r="91" spans="1:44" x14ac:dyDescent="0.5">
      <c r="A91" s="5"/>
      <c r="B91" s="5"/>
      <c r="C91" s="1"/>
      <c r="D91" s="1"/>
      <c r="E91" s="1"/>
      <c r="AI91" s="4"/>
      <c r="AR91" s="4"/>
    </row>
    <row r="92" spans="1:44" x14ac:dyDescent="0.5">
      <c r="A92" s="9" t="s">
        <v>40</v>
      </c>
      <c r="B92" s="9"/>
      <c r="C92" s="1"/>
      <c r="D92" s="1" t="s">
        <v>1</v>
      </c>
      <c r="E92" s="1" t="s">
        <v>2</v>
      </c>
      <c r="AI92" s="4"/>
      <c r="AR92" s="4"/>
    </row>
    <row r="93" spans="1:44" x14ac:dyDescent="0.5">
      <c r="A93" s="5">
        <v>78</v>
      </c>
      <c r="B93" s="5" t="s">
        <v>29</v>
      </c>
      <c r="C93" s="1" t="s">
        <v>41</v>
      </c>
      <c r="D93" s="1">
        <v>68.010000000000005</v>
      </c>
      <c r="E93" s="1">
        <v>8.6999999999999994E-2</v>
      </c>
      <c r="AI93" s="4"/>
      <c r="AR93" s="4"/>
    </row>
    <row r="94" spans="1:44" x14ac:dyDescent="0.5">
      <c r="A94" s="5">
        <v>79</v>
      </c>
      <c r="B94" s="5" t="s">
        <v>42</v>
      </c>
      <c r="C94" s="1" t="s">
        <v>41</v>
      </c>
      <c r="D94" s="1">
        <v>27.9</v>
      </c>
      <c r="E94" s="1">
        <v>4.2999999999999997E-2</v>
      </c>
      <c r="AI94" s="4"/>
      <c r="AR94" s="4"/>
    </row>
    <row r="95" spans="1:44" x14ac:dyDescent="0.5">
      <c r="A95" s="5">
        <v>80</v>
      </c>
      <c r="B95" s="5" t="s">
        <v>59</v>
      </c>
      <c r="C95" s="1" t="s">
        <v>41</v>
      </c>
      <c r="D95" s="1">
        <v>6</v>
      </c>
      <c r="E95" s="1">
        <v>0</v>
      </c>
      <c r="H95" s="1"/>
      <c r="AI95" s="4"/>
      <c r="AR95" s="4"/>
    </row>
    <row r="96" spans="1:44" x14ac:dyDescent="0.5">
      <c r="A96" s="5">
        <v>81</v>
      </c>
      <c r="B96" s="5" t="s">
        <v>32</v>
      </c>
      <c r="C96" s="1" t="s">
        <v>41</v>
      </c>
      <c r="D96" s="1">
        <v>28.8</v>
      </c>
      <c r="E96" s="1">
        <v>4.0000000000000001E-3</v>
      </c>
      <c r="AI96" s="4"/>
      <c r="AR96" s="4"/>
    </row>
    <row r="97" spans="1:44" x14ac:dyDescent="0.5">
      <c r="A97" s="5">
        <v>82</v>
      </c>
      <c r="B97" s="5" t="s">
        <v>44</v>
      </c>
      <c r="C97" s="1" t="s">
        <v>41</v>
      </c>
      <c r="D97" s="1">
        <v>49</v>
      </c>
      <c r="E97" s="1">
        <v>5.6000000000000001E-2</v>
      </c>
      <c r="AI97" s="4"/>
      <c r="AR97" s="4"/>
    </row>
    <row r="98" spans="1:44" x14ac:dyDescent="0.5">
      <c r="A98" s="5">
        <v>83</v>
      </c>
      <c r="B98" s="5" t="s">
        <v>45</v>
      </c>
      <c r="C98" s="1" t="s">
        <v>41</v>
      </c>
      <c r="D98" s="1">
        <v>17.8</v>
      </c>
      <c r="E98" s="1">
        <v>0</v>
      </c>
      <c r="AI98" s="4"/>
      <c r="AR98" s="4"/>
    </row>
    <row r="99" spans="1:44" x14ac:dyDescent="0.5">
      <c r="A99" s="5">
        <v>84</v>
      </c>
      <c r="B99" s="5" t="s">
        <v>59</v>
      </c>
      <c r="C99" s="1" t="s">
        <v>41</v>
      </c>
      <c r="D99" s="1">
        <v>25.07</v>
      </c>
      <c r="E99" s="1">
        <v>0</v>
      </c>
      <c r="AI99" s="4"/>
      <c r="AR99" s="4"/>
    </row>
    <row r="100" spans="1:44" x14ac:dyDescent="0.5">
      <c r="A100" s="6"/>
      <c r="B100" s="6"/>
    </row>
  </sheetData>
  <mergeCells count="1">
    <mergeCell ref="A92:B9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9BDB-CEF3-FC45-BC85-674839D4226B}">
  <dimension ref="A1:AN51"/>
  <sheetViews>
    <sheetView tabSelected="1" topLeftCell="AH1" workbookViewId="0">
      <selection activeCell="AJ1" sqref="AJ1"/>
    </sheetView>
  </sheetViews>
  <sheetFormatPr baseColWidth="10" defaultRowHeight="15.75" x14ac:dyDescent="0.5"/>
  <cols>
    <col min="4" max="4" width="15.5" customWidth="1"/>
    <col min="11" max="11" width="16.875" customWidth="1"/>
    <col min="12" max="12" width="17.875" customWidth="1"/>
    <col min="13" max="13" width="15.625" customWidth="1"/>
    <col min="20" max="20" width="15.3125" customWidth="1"/>
    <col min="21" max="21" width="18.375" customWidth="1"/>
    <col min="22" max="22" width="14.625" customWidth="1"/>
    <col min="29" max="29" width="11.9375" customWidth="1"/>
    <col min="30" max="30" width="19.125" customWidth="1"/>
    <col min="31" max="31" width="14.5625" customWidth="1"/>
    <col min="36" max="37" width="12.8125" customWidth="1"/>
    <col min="38" max="38" width="17.0625" customWidth="1"/>
    <col min="39" max="39" width="18.875" customWidth="1"/>
  </cols>
  <sheetData>
    <row r="1" spans="1:40" s="6" customFormat="1" x14ac:dyDescent="0.5">
      <c r="A1" s="5" t="s">
        <v>0</v>
      </c>
      <c r="B1" s="5" t="s">
        <v>105</v>
      </c>
      <c r="C1" s="5" t="s">
        <v>106</v>
      </c>
      <c r="D1" s="5" t="s">
        <v>112</v>
      </c>
      <c r="E1" s="5" t="s">
        <v>118</v>
      </c>
      <c r="G1" s="5" t="s">
        <v>116</v>
      </c>
      <c r="H1" s="5" t="s">
        <v>118</v>
      </c>
      <c r="I1" s="5" t="s">
        <v>142</v>
      </c>
      <c r="J1" s="6">
        <v>9.4999999999999998E-3</v>
      </c>
      <c r="K1" s="6" t="s">
        <v>116</v>
      </c>
      <c r="L1" s="6" t="s">
        <v>129</v>
      </c>
      <c r="M1" s="6" t="s">
        <v>127</v>
      </c>
      <c r="O1" s="6" t="s">
        <v>4</v>
      </c>
      <c r="P1" s="6" t="s">
        <v>105</v>
      </c>
      <c r="Q1" s="5" t="s">
        <v>118</v>
      </c>
      <c r="R1" s="6" t="s">
        <v>140</v>
      </c>
      <c r="T1" s="6" t="s">
        <v>116</v>
      </c>
      <c r="U1" s="6" t="s">
        <v>129</v>
      </c>
      <c r="V1" s="6" t="s">
        <v>127</v>
      </c>
      <c r="X1" s="6" t="s">
        <v>99</v>
      </c>
      <c r="Y1" s="7" t="s">
        <v>105</v>
      </c>
      <c r="Z1" s="5" t="s">
        <v>118</v>
      </c>
      <c r="AA1" s="6" t="s">
        <v>141</v>
      </c>
      <c r="AC1" s="6" t="s">
        <v>116</v>
      </c>
      <c r="AD1" s="6" t="s">
        <v>129</v>
      </c>
      <c r="AE1" s="6" t="s">
        <v>127</v>
      </c>
      <c r="AG1" s="6" t="s">
        <v>103</v>
      </c>
      <c r="AH1" s="7" t="s">
        <v>105</v>
      </c>
      <c r="AI1" s="5" t="s">
        <v>143</v>
      </c>
      <c r="AJ1" s="6" t="s">
        <v>140</v>
      </c>
      <c r="AL1" s="6" t="s">
        <v>116</v>
      </c>
      <c r="AM1" s="6" t="s">
        <v>129</v>
      </c>
      <c r="AN1" s="6" t="s">
        <v>127</v>
      </c>
    </row>
    <row r="2" spans="1:40" x14ac:dyDescent="0.5">
      <c r="A2" s="1">
        <v>1</v>
      </c>
      <c r="B2" s="1" t="s">
        <v>71</v>
      </c>
      <c r="C2" s="1" t="s">
        <v>4</v>
      </c>
      <c r="D2" s="1">
        <v>28.12</v>
      </c>
      <c r="E2" s="1">
        <v>0.51600000000000001</v>
      </c>
      <c r="G2" t="s">
        <v>5</v>
      </c>
      <c r="H2">
        <v>0.51600000000000001</v>
      </c>
      <c r="I2">
        <f>H2/$J$1</f>
        <v>54.315789473684212</v>
      </c>
      <c r="K2">
        <v>1</v>
      </c>
      <c r="L2">
        <f>SUM(I2:I6)</f>
        <v>84.21052631578948</v>
      </c>
      <c r="M2">
        <f>L2/5</f>
        <v>16.842105263157897</v>
      </c>
      <c r="P2" t="s">
        <v>5</v>
      </c>
      <c r="Q2">
        <v>0.51600000000000001</v>
      </c>
      <c r="R2">
        <f>Q2/$J$1</f>
        <v>54.315789473684212</v>
      </c>
      <c r="T2">
        <v>1</v>
      </c>
      <c r="U2">
        <f>SUM(R2:R6)</f>
        <v>84.21052631578948</v>
      </c>
      <c r="V2">
        <f>U2/5</f>
        <v>16.842105263157897</v>
      </c>
      <c r="Y2" s="4" t="s">
        <v>5</v>
      </c>
      <c r="Z2" s="4">
        <v>0</v>
      </c>
      <c r="AA2">
        <f>Z2/$J$1</f>
        <v>0</v>
      </c>
      <c r="AC2">
        <v>1</v>
      </c>
      <c r="AD2">
        <v>0</v>
      </c>
      <c r="AE2">
        <f>AD2/5</f>
        <v>0</v>
      </c>
      <c r="AH2" s="4" t="s">
        <v>5</v>
      </c>
      <c r="AI2" s="4">
        <v>0</v>
      </c>
      <c r="AJ2">
        <f>AI2/$J$1</f>
        <v>0</v>
      </c>
      <c r="AL2">
        <v>1</v>
      </c>
      <c r="AM2">
        <v>0</v>
      </c>
      <c r="AN2">
        <f>AM2/5</f>
        <v>0</v>
      </c>
    </row>
    <row r="3" spans="1:40" x14ac:dyDescent="0.5">
      <c r="A3" s="1">
        <v>2</v>
      </c>
      <c r="B3" s="1" t="s">
        <v>72</v>
      </c>
      <c r="C3" s="1" t="s">
        <v>4</v>
      </c>
      <c r="D3" s="1">
        <v>16.28</v>
      </c>
      <c r="E3" s="1">
        <v>2.9600000000000001E-2</v>
      </c>
      <c r="G3" t="s">
        <v>3</v>
      </c>
      <c r="H3">
        <v>2.9600000000000001E-2</v>
      </c>
      <c r="I3">
        <f t="shared" ref="I3:I51" si="0">H3/$J$1</f>
        <v>3.1157894736842109</v>
      </c>
      <c r="K3">
        <v>2</v>
      </c>
      <c r="L3">
        <f>SUM(I7:I11)</f>
        <v>26.652631578947368</v>
      </c>
      <c r="M3">
        <f t="shared" ref="M3:M11" si="1">L3/5</f>
        <v>5.3305263157894736</v>
      </c>
      <c r="P3" t="s">
        <v>3</v>
      </c>
      <c r="Q3">
        <v>2.9600000000000001E-2</v>
      </c>
      <c r="R3">
        <f t="shared" ref="R3:R51" si="2">Q3/$J$1</f>
        <v>3.1157894736842109</v>
      </c>
      <c r="T3">
        <v>2</v>
      </c>
      <c r="U3">
        <f>SUM(R7:R11)</f>
        <v>1522.2160664819946</v>
      </c>
      <c r="V3">
        <f t="shared" ref="V3:V11" si="3">U3/5</f>
        <v>304.44321329639894</v>
      </c>
      <c r="Y3" s="4" t="s">
        <v>3</v>
      </c>
      <c r="Z3" s="4">
        <v>0</v>
      </c>
      <c r="AA3">
        <f t="shared" ref="AA3:AA51" si="4">Z3/$J$1</f>
        <v>0</v>
      </c>
      <c r="AC3">
        <v>2</v>
      </c>
      <c r="AD3">
        <v>0</v>
      </c>
      <c r="AE3">
        <f t="shared" ref="AE3:AE11" si="5">AD3/5</f>
        <v>0</v>
      </c>
      <c r="AH3" s="4" t="s">
        <v>3</v>
      </c>
      <c r="AI3" s="4">
        <v>0</v>
      </c>
      <c r="AJ3">
        <f t="shared" ref="AJ3:AJ51" si="6">AI3/$J$1</f>
        <v>0</v>
      </c>
      <c r="AL3">
        <v>2</v>
      </c>
      <c r="AM3">
        <v>0</v>
      </c>
      <c r="AN3">
        <f t="shared" ref="AN3:AN11" si="7">AM3/5</f>
        <v>0</v>
      </c>
    </row>
    <row r="4" spans="1:40" x14ac:dyDescent="0.5">
      <c r="A4" s="1">
        <v>3</v>
      </c>
      <c r="B4" s="1" t="s">
        <v>73</v>
      </c>
      <c r="C4" s="1" t="s">
        <v>4</v>
      </c>
      <c r="D4" s="1">
        <v>10.7</v>
      </c>
      <c r="E4" s="1">
        <v>6.7999999999999996E-3</v>
      </c>
      <c r="G4" t="s">
        <v>9</v>
      </c>
      <c r="H4">
        <v>0</v>
      </c>
      <c r="I4">
        <f t="shared" si="0"/>
        <v>0</v>
      </c>
      <c r="K4">
        <v>3</v>
      </c>
      <c r="L4">
        <f>SUM(I12:I16)</f>
        <v>12.663157894736845</v>
      </c>
      <c r="M4">
        <f t="shared" si="1"/>
        <v>2.532631578947369</v>
      </c>
      <c r="P4" t="s">
        <v>9</v>
      </c>
      <c r="Q4">
        <v>0</v>
      </c>
      <c r="R4">
        <f t="shared" si="2"/>
        <v>0</v>
      </c>
      <c r="T4">
        <v>3</v>
      </c>
      <c r="U4">
        <f>SUM(R12:R16)</f>
        <v>2.3684210526315792</v>
      </c>
      <c r="V4">
        <f t="shared" si="3"/>
        <v>0.47368421052631582</v>
      </c>
      <c r="Y4" s="4" t="s">
        <v>9</v>
      </c>
      <c r="Z4" s="4">
        <v>0</v>
      </c>
      <c r="AA4">
        <f t="shared" si="4"/>
        <v>0</v>
      </c>
      <c r="AC4">
        <v>3</v>
      </c>
      <c r="AD4">
        <v>0</v>
      </c>
      <c r="AE4">
        <f t="shared" si="5"/>
        <v>0</v>
      </c>
      <c r="AH4" s="4" t="s">
        <v>9</v>
      </c>
      <c r="AI4" s="4">
        <v>0</v>
      </c>
      <c r="AJ4">
        <f t="shared" si="6"/>
        <v>0</v>
      </c>
      <c r="AL4">
        <v>3</v>
      </c>
      <c r="AM4">
        <v>0</v>
      </c>
      <c r="AN4">
        <f t="shared" si="7"/>
        <v>0</v>
      </c>
    </row>
    <row r="5" spans="1:40" x14ac:dyDescent="0.5">
      <c r="A5" s="1">
        <v>4</v>
      </c>
      <c r="B5" s="1" t="s">
        <v>74</v>
      </c>
      <c r="C5" s="1" t="s">
        <v>4</v>
      </c>
      <c r="D5" s="1">
        <v>29</v>
      </c>
      <c r="E5" s="1">
        <v>0.24759999999999999</v>
      </c>
      <c r="G5" t="s">
        <v>6</v>
      </c>
      <c r="H5">
        <v>6.7999999999999996E-3</v>
      </c>
      <c r="I5">
        <f t="shared" si="0"/>
        <v>0.71578947368421053</v>
      </c>
      <c r="K5">
        <v>4</v>
      </c>
      <c r="L5">
        <f>SUM(I17:I21)</f>
        <v>0.63157894736842113</v>
      </c>
      <c r="M5">
        <f t="shared" si="1"/>
        <v>0.12631578947368421</v>
      </c>
      <c r="P5" t="s">
        <v>6</v>
      </c>
      <c r="Q5">
        <v>6.7999999999999996E-3</v>
      </c>
      <c r="R5">
        <f t="shared" si="2"/>
        <v>0.71578947368421053</v>
      </c>
      <c r="T5">
        <v>4</v>
      </c>
      <c r="U5">
        <f>SUM(R17:R21)</f>
        <v>0.63157894736842113</v>
      </c>
      <c r="V5">
        <f t="shared" si="3"/>
        <v>0.12631578947368421</v>
      </c>
      <c r="Y5" s="4" t="s">
        <v>6</v>
      </c>
      <c r="Z5" s="4">
        <v>0</v>
      </c>
      <c r="AA5">
        <f t="shared" si="4"/>
        <v>0</v>
      </c>
      <c r="AC5">
        <v>4</v>
      </c>
      <c r="AD5">
        <v>0</v>
      </c>
      <c r="AE5">
        <f t="shared" si="5"/>
        <v>0</v>
      </c>
      <c r="AH5" s="4" t="s">
        <v>6</v>
      </c>
      <c r="AI5" s="4">
        <v>0</v>
      </c>
      <c r="AJ5">
        <f t="shared" si="6"/>
        <v>0</v>
      </c>
      <c r="AL5">
        <v>4</v>
      </c>
      <c r="AM5">
        <v>0</v>
      </c>
      <c r="AN5">
        <f t="shared" si="7"/>
        <v>0</v>
      </c>
    </row>
    <row r="6" spans="1:40" x14ac:dyDescent="0.5">
      <c r="A6" s="1">
        <v>5</v>
      </c>
      <c r="B6" s="1" t="s">
        <v>75</v>
      </c>
      <c r="C6" s="1" t="s">
        <v>4</v>
      </c>
      <c r="D6" s="1">
        <v>14.45</v>
      </c>
      <c r="E6" s="1">
        <v>2.2700000000000001E-2</v>
      </c>
      <c r="G6" t="s">
        <v>47</v>
      </c>
      <c r="H6">
        <v>0.24759999999999999</v>
      </c>
      <c r="I6">
        <f t="shared" si="0"/>
        <v>26.06315789473684</v>
      </c>
      <c r="K6">
        <v>5</v>
      </c>
      <c r="L6">
        <f>SUM(I22:I26)</f>
        <v>53.421052631578952</v>
      </c>
      <c r="M6">
        <f t="shared" si="1"/>
        <v>10.684210526315791</v>
      </c>
      <c r="P6" t="s">
        <v>47</v>
      </c>
      <c r="Q6">
        <v>0.24759999999999999</v>
      </c>
      <c r="R6">
        <f t="shared" si="2"/>
        <v>26.06315789473684</v>
      </c>
      <c r="T6">
        <v>5</v>
      </c>
      <c r="U6">
        <f>SUM(R22:R26)</f>
        <v>1795.0216066481998</v>
      </c>
      <c r="V6">
        <f t="shared" si="3"/>
        <v>359.00432132963999</v>
      </c>
      <c r="Y6" s="4" t="s">
        <v>47</v>
      </c>
      <c r="Z6" s="4">
        <v>0</v>
      </c>
      <c r="AA6">
        <f t="shared" si="4"/>
        <v>0</v>
      </c>
      <c r="AC6">
        <v>5</v>
      </c>
      <c r="AD6">
        <v>0</v>
      </c>
      <c r="AE6">
        <f t="shared" si="5"/>
        <v>0</v>
      </c>
      <c r="AH6" s="4" t="s">
        <v>47</v>
      </c>
      <c r="AI6" s="4">
        <v>0</v>
      </c>
      <c r="AJ6">
        <f t="shared" si="6"/>
        <v>0</v>
      </c>
      <c r="AL6">
        <v>5</v>
      </c>
      <c r="AM6">
        <v>0.22105263</v>
      </c>
      <c r="AN6">
        <f t="shared" si="7"/>
        <v>4.4210526E-2</v>
      </c>
    </row>
    <row r="7" spans="1:40" x14ac:dyDescent="0.5">
      <c r="A7" s="1">
        <v>6</v>
      </c>
      <c r="B7" s="1" t="s">
        <v>75</v>
      </c>
      <c r="C7" s="1" t="s">
        <v>4</v>
      </c>
      <c r="D7" s="1">
        <v>9.8800000000000008</v>
      </c>
      <c r="E7" s="1">
        <v>5.0000000000000001E-3</v>
      </c>
      <c r="G7" t="s">
        <v>13</v>
      </c>
      <c r="H7">
        <v>0</v>
      </c>
      <c r="I7">
        <f t="shared" si="0"/>
        <v>0</v>
      </c>
      <c r="K7">
        <v>6</v>
      </c>
      <c r="L7">
        <f>SUM(I27:I31)</f>
        <v>18.88421052631579</v>
      </c>
      <c r="M7">
        <f t="shared" si="1"/>
        <v>3.776842105263158</v>
      </c>
      <c r="P7" t="s">
        <v>13</v>
      </c>
      <c r="Q7">
        <v>0</v>
      </c>
      <c r="R7">
        <f t="shared" si="2"/>
        <v>0</v>
      </c>
      <c r="T7">
        <v>6</v>
      </c>
      <c r="U7">
        <f>SUM(R27:R31)</f>
        <v>18.305263157894736</v>
      </c>
      <c r="V7">
        <f t="shared" si="3"/>
        <v>3.6610526315789471</v>
      </c>
      <c r="Y7" s="4" t="s">
        <v>13</v>
      </c>
      <c r="Z7" s="4">
        <v>0</v>
      </c>
      <c r="AA7">
        <f t="shared" si="4"/>
        <v>0</v>
      </c>
      <c r="AC7">
        <v>6</v>
      </c>
      <c r="AD7">
        <v>0</v>
      </c>
      <c r="AE7">
        <f t="shared" si="5"/>
        <v>0</v>
      </c>
      <c r="AH7" s="4" t="s">
        <v>13</v>
      </c>
      <c r="AI7" s="4">
        <v>0</v>
      </c>
      <c r="AJ7">
        <f t="shared" si="6"/>
        <v>0</v>
      </c>
      <c r="AL7">
        <v>6</v>
      </c>
      <c r="AM7">
        <v>0.57894736999999996</v>
      </c>
      <c r="AN7">
        <f t="shared" si="7"/>
        <v>0.11578947399999999</v>
      </c>
    </row>
    <row r="8" spans="1:40" x14ac:dyDescent="0.5">
      <c r="A8" s="1">
        <v>7</v>
      </c>
      <c r="B8" s="1" t="s">
        <v>75</v>
      </c>
      <c r="C8" s="1" t="s">
        <v>4</v>
      </c>
      <c r="D8" s="1">
        <v>7.68</v>
      </c>
      <c r="E8" s="1">
        <v>4.0000000000000002E-4</v>
      </c>
      <c r="G8" t="s">
        <v>48</v>
      </c>
      <c r="H8">
        <v>0</v>
      </c>
      <c r="I8">
        <f t="shared" si="0"/>
        <v>0</v>
      </c>
      <c r="K8">
        <v>7</v>
      </c>
      <c r="L8">
        <f>SUM(I32:I36)</f>
        <v>0</v>
      </c>
      <c r="M8">
        <f t="shared" si="1"/>
        <v>0</v>
      </c>
      <c r="P8" t="s">
        <v>48</v>
      </c>
      <c r="Q8">
        <v>0</v>
      </c>
      <c r="R8">
        <f t="shared" si="2"/>
        <v>0</v>
      </c>
      <c r="T8">
        <v>7</v>
      </c>
      <c r="U8">
        <v>0</v>
      </c>
      <c r="V8">
        <f t="shared" si="3"/>
        <v>0</v>
      </c>
      <c r="Y8" s="4" t="s">
        <v>48</v>
      </c>
      <c r="Z8" s="4">
        <v>0</v>
      </c>
      <c r="AA8">
        <f t="shared" si="4"/>
        <v>0</v>
      </c>
      <c r="AC8">
        <v>7</v>
      </c>
      <c r="AD8">
        <v>0</v>
      </c>
      <c r="AE8">
        <f t="shared" si="5"/>
        <v>0</v>
      </c>
      <c r="AH8" s="4" t="s">
        <v>48</v>
      </c>
      <c r="AI8" s="4">
        <v>0</v>
      </c>
      <c r="AJ8">
        <f t="shared" si="6"/>
        <v>0</v>
      </c>
      <c r="AL8">
        <v>7</v>
      </c>
      <c r="AM8">
        <v>0</v>
      </c>
      <c r="AN8">
        <f t="shared" si="7"/>
        <v>0</v>
      </c>
    </row>
    <row r="9" spans="1:40" x14ac:dyDescent="0.5">
      <c r="A9" s="1">
        <v>8</v>
      </c>
      <c r="B9" s="1" t="s">
        <v>75</v>
      </c>
      <c r="C9" s="1" t="s">
        <v>4</v>
      </c>
      <c r="D9" s="1">
        <v>28.37</v>
      </c>
      <c r="E9" s="1">
        <v>0.22509999999999999</v>
      </c>
      <c r="G9" t="s">
        <v>49</v>
      </c>
      <c r="H9">
        <v>0</v>
      </c>
      <c r="I9">
        <f t="shared" si="0"/>
        <v>0</v>
      </c>
      <c r="K9">
        <v>8</v>
      </c>
      <c r="L9">
        <f>SUM(I37:I41)</f>
        <v>0</v>
      </c>
      <c r="M9">
        <f t="shared" si="1"/>
        <v>0</v>
      </c>
      <c r="P9" t="s">
        <v>49</v>
      </c>
      <c r="Q9">
        <v>0</v>
      </c>
      <c r="R9">
        <f t="shared" si="2"/>
        <v>0</v>
      </c>
      <c r="T9">
        <v>8</v>
      </c>
      <c r="U9">
        <v>0</v>
      </c>
      <c r="V9">
        <f t="shared" si="3"/>
        <v>0</v>
      </c>
      <c r="Y9" s="4" t="s">
        <v>49</v>
      </c>
      <c r="Z9" s="4">
        <v>0</v>
      </c>
      <c r="AA9">
        <f t="shared" si="4"/>
        <v>0</v>
      </c>
      <c r="AC9">
        <v>8</v>
      </c>
      <c r="AD9">
        <v>0</v>
      </c>
      <c r="AE9">
        <f t="shared" si="5"/>
        <v>0</v>
      </c>
      <c r="AH9" s="4" t="s">
        <v>49</v>
      </c>
      <c r="AI9" s="4">
        <v>0</v>
      </c>
      <c r="AJ9">
        <f t="shared" si="6"/>
        <v>0</v>
      </c>
      <c r="AL9">
        <v>8</v>
      </c>
      <c r="AM9">
        <v>0</v>
      </c>
      <c r="AN9">
        <f t="shared" si="7"/>
        <v>0</v>
      </c>
    </row>
    <row r="10" spans="1:40" x14ac:dyDescent="0.5">
      <c r="A10" s="1">
        <v>9</v>
      </c>
      <c r="B10" s="1" t="s">
        <v>76</v>
      </c>
      <c r="C10" s="1" t="s">
        <v>4</v>
      </c>
      <c r="D10" s="1">
        <v>12.63</v>
      </c>
      <c r="E10" s="1">
        <v>1.32E-2</v>
      </c>
      <c r="G10" t="s">
        <v>14</v>
      </c>
      <c r="H10">
        <f>SUM(E6:E9)</f>
        <v>0.25319999999999998</v>
      </c>
      <c r="I10">
        <f t="shared" si="0"/>
        <v>26.652631578947368</v>
      </c>
      <c r="K10">
        <v>9</v>
      </c>
      <c r="L10">
        <f>SUM(I42:I46)</f>
        <v>0.33684210526315794</v>
      </c>
      <c r="M10">
        <f t="shared" si="1"/>
        <v>6.7368421052631591E-2</v>
      </c>
      <c r="P10" t="s">
        <v>14</v>
      </c>
      <c r="Q10">
        <f>SUM(M6:M9)</f>
        <v>14.46105263157895</v>
      </c>
      <c r="R10">
        <f t="shared" si="2"/>
        <v>1522.2160664819946</v>
      </c>
      <c r="T10">
        <v>9</v>
      </c>
      <c r="U10">
        <v>0</v>
      </c>
      <c r="V10">
        <f t="shared" si="3"/>
        <v>0</v>
      </c>
      <c r="Y10" s="4" t="s">
        <v>14</v>
      </c>
      <c r="Z10" s="4">
        <v>0</v>
      </c>
      <c r="AA10">
        <f t="shared" si="4"/>
        <v>0</v>
      </c>
      <c r="AC10">
        <v>9</v>
      </c>
      <c r="AD10">
        <f>SUM(AA44)</f>
        <v>0.33684210526315794</v>
      </c>
      <c r="AE10">
        <f t="shared" si="5"/>
        <v>6.7368421052631591E-2</v>
      </c>
      <c r="AH10" s="4" t="s">
        <v>14</v>
      </c>
      <c r="AI10" s="4">
        <v>0</v>
      </c>
      <c r="AJ10">
        <f t="shared" si="6"/>
        <v>0</v>
      </c>
      <c r="AL10">
        <v>9</v>
      </c>
      <c r="AM10">
        <v>0</v>
      </c>
      <c r="AN10">
        <f t="shared" si="7"/>
        <v>0</v>
      </c>
    </row>
    <row r="11" spans="1:40" x14ac:dyDescent="0.5">
      <c r="A11" s="1">
        <v>10</v>
      </c>
      <c r="B11" s="1" t="s">
        <v>77</v>
      </c>
      <c r="C11" s="1" t="s">
        <v>4</v>
      </c>
      <c r="D11" s="1">
        <v>28.39</v>
      </c>
      <c r="E11" s="1">
        <v>0.20100000000000001</v>
      </c>
      <c r="G11" t="s">
        <v>15</v>
      </c>
      <c r="H11">
        <v>0</v>
      </c>
      <c r="I11">
        <f t="shared" si="0"/>
        <v>0</v>
      </c>
      <c r="K11">
        <v>10</v>
      </c>
      <c r="L11">
        <f>SUM(I47:I51)</f>
        <v>1.6</v>
      </c>
      <c r="M11">
        <f t="shared" si="1"/>
        <v>0.32</v>
      </c>
      <c r="P11" t="s">
        <v>15</v>
      </c>
      <c r="Q11">
        <v>0</v>
      </c>
      <c r="R11">
        <f t="shared" si="2"/>
        <v>0</v>
      </c>
      <c r="T11">
        <v>10</v>
      </c>
      <c r="U11">
        <v>0</v>
      </c>
      <c r="V11">
        <f t="shared" si="3"/>
        <v>0</v>
      </c>
      <c r="Y11" s="4" t="s">
        <v>15</v>
      </c>
      <c r="Z11" s="4">
        <v>0</v>
      </c>
      <c r="AA11">
        <f t="shared" si="4"/>
        <v>0</v>
      </c>
      <c r="AC11">
        <v>10</v>
      </c>
      <c r="AD11">
        <f>SUM(AA50)</f>
        <v>1.6</v>
      </c>
      <c r="AE11">
        <f t="shared" si="5"/>
        <v>0.32</v>
      </c>
      <c r="AH11" s="4" t="s">
        <v>15</v>
      </c>
      <c r="AI11" s="4">
        <v>0</v>
      </c>
      <c r="AJ11">
        <f t="shared" si="6"/>
        <v>0</v>
      </c>
      <c r="AL11">
        <v>10</v>
      </c>
      <c r="AM11">
        <v>0</v>
      </c>
      <c r="AN11">
        <f t="shared" si="7"/>
        <v>0</v>
      </c>
    </row>
    <row r="12" spans="1:40" x14ac:dyDescent="0.5">
      <c r="A12" s="1">
        <v>11</v>
      </c>
      <c r="B12" s="1" t="s">
        <v>78</v>
      </c>
      <c r="C12" s="1" t="s">
        <v>79</v>
      </c>
      <c r="D12" s="1">
        <v>14.45</v>
      </c>
      <c r="E12" s="1">
        <v>1.52E-2</v>
      </c>
      <c r="G12" t="s">
        <v>50</v>
      </c>
      <c r="H12">
        <v>1.32E-2</v>
      </c>
      <c r="I12">
        <f t="shared" si="0"/>
        <v>1.3894736842105264</v>
      </c>
      <c r="P12" t="s">
        <v>50</v>
      </c>
      <c r="Q12">
        <v>1.32E-2</v>
      </c>
      <c r="R12">
        <f t="shared" si="2"/>
        <v>1.3894736842105264</v>
      </c>
      <c r="Y12" s="4" t="s">
        <v>50</v>
      </c>
      <c r="Z12" s="4">
        <v>0</v>
      </c>
      <c r="AA12">
        <f t="shared" si="4"/>
        <v>0</v>
      </c>
      <c r="AH12" s="4" t="s">
        <v>50</v>
      </c>
      <c r="AI12" s="4">
        <v>0</v>
      </c>
      <c r="AJ12">
        <f t="shared" si="6"/>
        <v>0</v>
      </c>
    </row>
    <row r="13" spans="1:40" x14ac:dyDescent="0.5">
      <c r="A13" s="1">
        <v>12</v>
      </c>
      <c r="B13" s="1" t="s">
        <v>80</v>
      </c>
      <c r="C13" s="1" t="s">
        <v>79</v>
      </c>
      <c r="D13" s="1">
        <v>10.58</v>
      </c>
      <c r="E13" s="1">
        <v>3.2000000000000002E-3</v>
      </c>
      <c r="G13" t="s">
        <v>16</v>
      </c>
      <c r="H13">
        <v>0</v>
      </c>
      <c r="I13">
        <f t="shared" si="0"/>
        <v>0</v>
      </c>
      <c r="K13" t="s">
        <v>137</v>
      </c>
      <c r="L13" t="s">
        <v>104</v>
      </c>
      <c r="M13">
        <f>MEDIAN(M2:M11)</f>
        <v>1.4263157894736846</v>
      </c>
      <c r="P13" t="s">
        <v>16</v>
      </c>
      <c r="Q13">
        <v>0</v>
      </c>
      <c r="R13">
        <f t="shared" si="2"/>
        <v>0</v>
      </c>
      <c r="U13" t="s">
        <v>104</v>
      </c>
      <c r="V13">
        <f>MEDIAN(V2:V11)</f>
        <v>0.30000000000000004</v>
      </c>
      <c r="Y13" s="4" t="s">
        <v>16</v>
      </c>
      <c r="Z13" s="4">
        <v>0</v>
      </c>
      <c r="AA13">
        <f t="shared" si="4"/>
        <v>0</v>
      </c>
      <c r="AH13" s="4" t="s">
        <v>16</v>
      </c>
      <c r="AI13" s="4">
        <v>0</v>
      </c>
      <c r="AJ13">
        <f t="shared" si="6"/>
        <v>0</v>
      </c>
    </row>
    <row r="14" spans="1:40" x14ac:dyDescent="0.5">
      <c r="A14" s="1">
        <v>13</v>
      </c>
      <c r="B14" s="1" t="s">
        <v>81</v>
      </c>
      <c r="C14" s="1" t="s">
        <v>4</v>
      </c>
      <c r="D14" s="1">
        <v>29.34</v>
      </c>
      <c r="E14" s="1">
        <v>0.28339999999999999</v>
      </c>
      <c r="G14" t="s">
        <v>17</v>
      </c>
      <c r="H14">
        <f>SUM(E19:E23)</f>
        <v>9.7799999999999998E-2</v>
      </c>
      <c r="I14">
        <f t="shared" si="0"/>
        <v>10.294736842105264</v>
      </c>
      <c r="L14" t="s">
        <v>96</v>
      </c>
      <c r="M14">
        <f>MIN(M2:M11)</f>
        <v>0</v>
      </c>
      <c r="P14" t="s">
        <v>17</v>
      </c>
      <c r="Q14">
        <f>SUM(M19:M23)</f>
        <v>0</v>
      </c>
      <c r="R14">
        <f t="shared" si="2"/>
        <v>0</v>
      </c>
      <c r="U14" t="s">
        <v>94</v>
      </c>
      <c r="V14">
        <v>0</v>
      </c>
      <c r="Y14" s="4" t="s">
        <v>17</v>
      </c>
      <c r="Z14" s="4">
        <v>0</v>
      </c>
      <c r="AA14">
        <f t="shared" si="4"/>
        <v>0</v>
      </c>
      <c r="AD14" t="s">
        <v>104</v>
      </c>
      <c r="AE14">
        <f>MEDIAN(AE2:AE11)</f>
        <v>0</v>
      </c>
      <c r="AH14" s="4" t="s">
        <v>17</v>
      </c>
      <c r="AI14" s="4">
        <v>0</v>
      </c>
      <c r="AJ14">
        <f t="shared" si="6"/>
        <v>0</v>
      </c>
      <c r="AM14" t="s">
        <v>104</v>
      </c>
      <c r="AN14">
        <v>0</v>
      </c>
    </row>
    <row r="15" spans="1:40" x14ac:dyDescent="0.5">
      <c r="A15" s="1">
        <v>14</v>
      </c>
      <c r="B15" s="1" t="s">
        <v>81</v>
      </c>
      <c r="C15" s="1" t="s">
        <v>4</v>
      </c>
      <c r="D15" s="1">
        <v>9.19</v>
      </c>
      <c r="E15" s="1">
        <v>4.1000000000000003E-3</v>
      </c>
      <c r="G15" t="s">
        <v>51</v>
      </c>
      <c r="H15" s="1">
        <v>1.1000000000000001E-3</v>
      </c>
      <c r="I15">
        <f t="shared" si="0"/>
        <v>0.11578947368421054</v>
      </c>
      <c r="L15" t="s">
        <v>135</v>
      </c>
      <c r="M15">
        <f>MAX(M2:M11)</f>
        <v>16.842105263157897</v>
      </c>
      <c r="P15" t="s">
        <v>51</v>
      </c>
      <c r="Q15" s="1">
        <v>1.1000000000000001E-3</v>
      </c>
      <c r="R15">
        <f t="shared" si="2"/>
        <v>0.11578947368421054</v>
      </c>
      <c r="U15" t="s">
        <v>95</v>
      </c>
      <c r="V15">
        <f>MAX(V2:V11)</f>
        <v>359.00432132963999</v>
      </c>
      <c r="Y15" s="4" t="s">
        <v>51</v>
      </c>
      <c r="Z15" s="4">
        <v>0</v>
      </c>
      <c r="AA15">
        <f t="shared" si="4"/>
        <v>0</v>
      </c>
      <c r="AD15" t="s">
        <v>94</v>
      </c>
      <c r="AE15">
        <v>0</v>
      </c>
      <c r="AH15" s="4" t="s">
        <v>51</v>
      </c>
      <c r="AI15" s="4">
        <v>0</v>
      </c>
      <c r="AJ15">
        <f t="shared" si="6"/>
        <v>0</v>
      </c>
      <c r="AM15" t="s">
        <v>96</v>
      </c>
      <c r="AN15">
        <v>0</v>
      </c>
    </row>
    <row r="16" spans="1:40" x14ac:dyDescent="0.5">
      <c r="A16" s="1">
        <v>15</v>
      </c>
      <c r="B16" s="1" t="s">
        <v>81</v>
      </c>
      <c r="C16" s="1" t="s">
        <v>4</v>
      </c>
      <c r="D16" s="1">
        <v>8.74</v>
      </c>
      <c r="E16" s="1">
        <v>3.8999999999999998E-3</v>
      </c>
      <c r="G16" t="s">
        <v>12</v>
      </c>
      <c r="H16" s="1">
        <v>8.2000000000000007E-3</v>
      </c>
      <c r="I16">
        <f t="shared" si="0"/>
        <v>0.86315789473684223</v>
      </c>
      <c r="P16" t="s">
        <v>12</v>
      </c>
      <c r="Q16" s="1">
        <v>8.2000000000000007E-3</v>
      </c>
      <c r="R16">
        <f t="shared" si="2"/>
        <v>0.86315789473684223</v>
      </c>
      <c r="Y16" s="4" t="s">
        <v>12</v>
      </c>
      <c r="Z16" s="4">
        <v>0</v>
      </c>
      <c r="AA16">
        <f t="shared" si="4"/>
        <v>0</v>
      </c>
      <c r="AD16" t="s">
        <v>95</v>
      </c>
      <c r="AE16">
        <f>MAX(AE2:AE11)</f>
        <v>0.32</v>
      </c>
      <c r="AH16" s="4" t="s">
        <v>12</v>
      </c>
      <c r="AI16" s="4">
        <v>0</v>
      </c>
      <c r="AJ16">
        <f t="shared" si="6"/>
        <v>0</v>
      </c>
      <c r="AM16" t="s">
        <v>97</v>
      </c>
      <c r="AN16">
        <v>0.11</v>
      </c>
    </row>
    <row r="17" spans="1:36" x14ac:dyDescent="0.5">
      <c r="A17" s="1">
        <v>16</v>
      </c>
      <c r="B17" s="1" t="s">
        <v>81</v>
      </c>
      <c r="C17" s="1" t="s">
        <v>4</v>
      </c>
      <c r="D17" s="1">
        <v>5.99</v>
      </c>
      <c r="E17" s="1">
        <v>0</v>
      </c>
      <c r="G17" t="s">
        <v>52</v>
      </c>
      <c r="H17" s="3">
        <v>6.0000000000000001E-3</v>
      </c>
      <c r="I17">
        <f t="shared" si="0"/>
        <v>0.63157894736842113</v>
      </c>
      <c r="P17" t="s">
        <v>52</v>
      </c>
      <c r="Q17" s="3">
        <v>6.0000000000000001E-3</v>
      </c>
      <c r="R17">
        <f t="shared" si="2"/>
        <v>0.63157894736842113</v>
      </c>
      <c r="Y17" s="4" t="s">
        <v>52</v>
      </c>
      <c r="Z17" s="4">
        <v>0</v>
      </c>
      <c r="AA17">
        <f t="shared" si="4"/>
        <v>0</v>
      </c>
      <c r="AH17" s="4" t="s">
        <v>52</v>
      </c>
      <c r="AI17" s="4">
        <v>0</v>
      </c>
      <c r="AJ17">
        <f t="shared" si="6"/>
        <v>0</v>
      </c>
    </row>
    <row r="18" spans="1:36" x14ac:dyDescent="0.5">
      <c r="A18" s="1">
        <v>17</v>
      </c>
      <c r="B18" s="1" t="s">
        <v>82</v>
      </c>
      <c r="C18" s="1" t="s">
        <v>4</v>
      </c>
      <c r="D18" s="1">
        <v>27.46</v>
      </c>
      <c r="E18" s="1">
        <v>0.1739</v>
      </c>
      <c r="G18" t="s">
        <v>11</v>
      </c>
      <c r="H18">
        <v>0</v>
      </c>
      <c r="I18">
        <f t="shared" si="0"/>
        <v>0</v>
      </c>
      <c r="P18" t="s">
        <v>11</v>
      </c>
      <c r="Q18">
        <v>0</v>
      </c>
      <c r="R18">
        <f t="shared" si="2"/>
        <v>0</v>
      </c>
      <c r="Y18" s="4" t="s">
        <v>11</v>
      </c>
      <c r="Z18" s="4">
        <v>0</v>
      </c>
      <c r="AA18">
        <f t="shared" si="4"/>
        <v>0</v>
      </c>
      <c r="AH18" s="4" t="s">
        <v>11</v>
      </c>
      <c r="AI18" s="4">
        <v>0</v>
      </c>
      <c r="AJ18">
        <f t="shared" si="6"/>
        <v>0</v>
      </c>
    </row>
    <row r="19" spans="1:36" x14ac:dyDescent="0.5">
      <c r="A19" s="1">
        <v>18</v>
      </c>
      <c r="B19" s="1" t="s">
        <v>83</v>
      </c>
      <c r="C19" s="1" t="s">
        <v>4</v>
      </c>
      <c r="D19" s="1">
        <v>17.940000000000001</v>
      </c>
      <c r="E19" s="1">
        <v>4.8599999999999997E-2</v>
      </c>
      <c r="G19" t="s">
        <v>53</v>
      </c>
      <c r="H19">
        <v>0</v>
      </c>
      <c r="I19">
        <f t="shared" si="0"/>
        <v>0</v>
      </c>
      <c r="P19" t="s">
        <v>53</v>
      </c>
      <c r="Q19">
        <v>0</v>
      </c>
      <c r="R19">
        <f t="shared" si="2"/>
        <v>0</v>
      </c>
      <c r="Y19" s="4" t="s">
        <v>53</v>
      </c>
      <c r="Z19" s="4">
        <v>0</v>
      </c>
      <c r="AA19">
        <f t="shared" si="4"/>
        <v>0</v>
      </c>
      <c r="AH19" s="4" t="s">
        <v>53</v>
      </c>
      <c r="AI19" s="4">
        <v>0</v>
      </c>
      <c r="AJ19">
        <f t="shared" si="6"/>
        <v>0</v>
      </c>
    </row>
    <row r="20" spans="1:36" x14ac:dyDescent="0.5">
      <c r="A20" s="1">
        <v>19</v>
      </c>
      <c r="B20" s="1" t="s">
        <v>83</v>
      </c>
      <c r="C20" s="1" t="s">
        <v>4</v>
      </c>
      <c r="D20" s="1">
        <v>8.8800000000000008</v>
      </c>
      <c r="E20" s="1">
        <v>3.2000000000000002E-3</v>
      </c>
      <c r="G20" t="s">
        <v>7</v>
      </c>
      <c r="H20">
        <v>0</v>
      </c>
      <c r="I20">
        <f t="shared" si="0"/>
        <v>0</v>
      </c>
      <c r="P20" t="s">
        <v>7</v>
      </c>
      <c r="Q20">
        <v>0</v>
      </c>
      <c r="R20">
        <f t="shared" si="2"/>
        <v>0</v>
      </c>
      <c r="Y20" s="4" t="s">
        <v>7</v>
      </c>
      <c r="Z20" s="4">
        <v>0</v>
      </c>
      <c r="AA20">
        <f t="shared" si="4"/>
        <v>0</v>
      </c>
      <c r="AH20" s="4" t="s">
        <v>7</v>
      </c>
      <c r="AI20" s="4">
        <v>0</v>
      </c>
      <c r="AJ20">
        <f t="shared" si="6"/>
        <v>0</v>
      </c>
    </row>
    <row r="21" spans="1:36" x14ac:dyDescent="0.5">
      <c r="A21" s="1">
        <v>20</v>
      </c>
      <c r="B21" s="1" t="s">
        <v>83</v>
      </c>
      <c r="C21" s="1" t="s">
        <v>4</v>
      </c>
      <c r="D21" s="1">
        <v>15.25</v>
      </c>
      <c r="E21" s="1">
        <v>2.76E-2</v>
      </c>
      <c r="G21" t="s">
        <v>54</v>
      </c>
      <c r="H21">
        <v>0</v>
      </c>
      <c r="I21">
        <f t="shared" si="0"/>
        <v>0</v>
      </c>
      <c r="P21" t="s">
        <v>54</v>
      </c>
      <c r="Q21">
        <v>0</v>
      </c>
      <c r="R21">
        <f t="shared" si="2"/>
        <v>0</v>
      </c>
      <c r="Y21" s="4" t="s">
        <v>54</v>
      </c>
      <c r="Z21" s="4">
        <v>0</v>
      </c>
      <c r="AA21">
        <f t="shared" si="4"/>
        <v>0</v>
      </c>
      <c r="AH21" s="4" t="s">
        <v>54</v>
      </c>
      <c r="AI21" s="4">
        <v>0</v>
      </c>
      <c r="AJ21">
        <f t="shared" si="6"/>
        <v>0</v>
      </c>
    </row>
    <row r="22" spans="1:36" x14ac:dyDescent="0.5">
      <c r="A22" s="1">
        <v>21</v>
      </c>
      <c r="B22" s="1" t="s">
        <v>83</v>
      </c>
      <c r="C22" s="1" t="s">
        <v>4</v>
      </c>
      <c r="D22" s="1">
        <v>10.65</v>
      </c>
      <c r="E22" s="1">
        <v>9.4000000000000004E-3</v>
      </c>
      <c r="G22" t="s">
        <v>18</v>
      </c>
      <c r="H22">
        <v>0.20100000000000001</v>
      </c>
      <c r="I22">
        <f t="shared" si="0"/>
        <v>21.157894736842106</v>
      </c>
      <c r="P22" t="s">
        <v>18</v>
      </c>
      <c r="Q22">
        <v>0.20100000000000001</v>
      </c>
      <c r="R22">
        <f t="shared" si="2"/>
        <v>21.157894736842106</v>
      </c>
      <c r="Y22" s="4" t="s">
        <v>18</v>
      </c>
      <c r="Z22" s="4">
        <v>0</v>
      </c>
      <c r="AA22">
        <f t="shared" si="4"/>
        <v>0</v>
      </c>
      <c r="AH22" s="4" t="s">
        <v>18</v>
      </c>
      <c r="AI22" s="4">
        <v>0</v>
      </c>
      <c r="AJ22">
        <f t="shared" si="6"/>
        <v>0</v>
      </c>
    </row>
    <row r="23" spans="1:36" x14ac:dyDescent="0.5">
      <c r="A23" s="1">
        <v>22</v>
      </c>
      <c r="B23" s="1" t="s">
        <v>83</v>
      </c>
      <c r="C23" s="1" t="s">
        <v>4</v>
      </c>
      <c r="D23" s="1">
        <v>11.01</v>
      </c>
      <c r="E23" s="1">
        <v>8.9999999999999993E-3</v>
      </c>
      <c r="G23" t="s">
        <v>55</v>
      </c>
      <c r="H23" s="1">
        <v>9.5999999999999992E-3</v>
      </c>
      <c r="I23">
        <f t="shared" si="0"/>
        <v>1.0105263157894737</v>
      </c>
      <c r="P23" t="s">
        <v>55</v>
      </c>
      <c r="Q23" s="1">
        <v>9.5999999999999992E-3</v>
      </c>
      <c r="R23">
        <f t="shared" si="2"/>
        <v>1.0105263157894737</v>
      </c>
      <c r="Y23" s="4" t="s">
        <v>55</v>
      </c>
      <c r="Z23" s="4">
        <v>0</v>
      </c>
      <c r="AA23">
        <f t="shared" si="4"/>
        <v>0</v>
      </c>
      <c r="AH23" s="4" t="s">
        <v>55</v>
      </c>
      <c r="AI23" s="4">
        <v>0</v>
      </c>
      <c r="AJ23">
        <f t="shared" si="6"/>
        <v>0</v>
      </c>
    </row>
    <row r="24" spans="1:36" x14ac:dyDescent="0.5">
      <c r="A24" s="1">
        <v>23</v>
      </c>
      <c r="B24" s="1" t="s">
        <v>84</v>
      </c>
      <c r="C24" s="1" t="s">
        <v>4</v>
      </c>
      <c r="D24" s="1">
        <v>10.210000000000001</v>
      </c>
      <c r="E24" s="1">
        <v>8.2000000000000007E-3</v>
      </c>
      <c r="G24" t="s">
        <v>20</v>
      </c>
      <c r="H24">
        <f>SUM(E28:E29)</f>
        <v>3.3999999999999998E-3</v>
      </c>
      <c r="I24">
        <f t="shared" si="0"/>
        <v>0.35789473684210527</v>
      </c>
      <c r="P24" t="s">
        <v>20</v>
      </c>
      <c r="Q24">
        <f>SUM(M28:M29)</f>
        <v>0</v>
      </c>
      <c r="R24">
        <f>Q24/$J$1</f>
        <v>0</v>
      </c>
      <c r="Y24" s="4" t="s">
        <v>20</v>
      </c>
      <c r="Z24" s="4">
        <v>0</v>
      </c>
      <c r="AA24">
        <f t="shared" si="4"/>
        <v>0</v>
      </c>
      <c r="AH24" s="4" t="s">
        <v>20</v>
      </c>
      <c r="AI24" s="4">
        <v>0</v>
      </c>
      <c r="AJ24">
        <f t="shared" si="6"/>
        <v>0</v>
      </c>
    </row>
    <row r="25" spans="1:36" x14ac:dyDescent="0.5">
      <c r="A25" s="1">
        <v>24</v>
      </c>
      <c r="B25" s="1" t="s">
        <v>46</v>
      </c>
      <c r="C25" s="1" t="s">
        <v>4</v>
      </c>
      <c r="D25" s="1">
        <v>6.85</v>
      </c>
      <c r="E25" s="1">
        <v>1.1000000000000001E-3</v>
      </c>
      <c r="G25" t="s">
        <v>56</v>
      </c>
      <c r="H25">
        <f>SUM(E14:E16)</f>
        <v>0.29139999999999999</v>
      </c>
      <c r="I25">
        <f t="shared" si="0"/>
        <v>30.673684210526314</v>
      </c>
      <c r="P25" t="s">
        <v>56</v>
      </c>
      <c r="Q25">
        <f>SUM(M14:M16)</f>
        <v>16.842105263157897</v>
      </c>
      <c r="R25">
        <f t="shared" si="2"/>
        <v>1772.8531855955682</v>
      </c>
      <c r="Y25" s="4" t="s">
        <v>56</v>
      </c>
      <c r="Z25" s="4">
        <v>0</v>
      </c>
      <c r="AA25">
        <f t="shared" si="4"/>
        <v>0</v>
      </c>
      <c r="AH25" s="4" t="s">
        <v>56</v>
      </c>
      <c r="AI25" s="4">
        <v>0</v>
      </c>
      <c r="AJ25">
        <f t="shared" si="6"/>
        <v>0</v>
      </c>
    </row>
    <row r="26" spans="1:36" x14ac:dyDescent="0.5">
      <c r="A26" s="1">
        <v>25</v>
      </c>
      <c r="B26" s="1" t="s">
        <v>85</v>
      </c>
      <c r="C26" s="1" t="s">
        <v>4</v>
      </c>
      <c r="D26" s="1">
        <v>9.8800000000000008</v>
      </c>
      <c r="E26" s="1">
        <v>6.0000000000000001E-3</v>
      </c>
      <c r="G26" t="s">
        <v>57</v>
      </c>
      <c r="H26" s="1">
        <v>2.0999999999999999E-3</v>
      </c>
      <c r="I26">
        <f t="shared" si="0"/>
        <v>0.22105263157894736</v>
      </c>
      <c r="P26" t="s">
        <v>57</v>
      </c>
      <c r="Q26" s="1">
        <v>0</v>
      </c>
      <c r="R26">
        <f t="shared" si="2"/>
        <v>0</v>
      </c>
      <c r="Y26" s="4" t="s">
        <v>57</v>
      </c>
      <c r="Z26" s="4">
        <v>0</v>
      </c>
      <c r="AA26">
        <f t="shared" si="4"/>
        <v>0</v>
      </c>
      <c r="AH26" s="4" t="s">
        <v>57</v>
      </c>
      <c r="AI26" s="4">
        <v>2.0999999999999999E-3</v>
      </c>
      <c r="AJ26">
        <f t="shared" si="6"/>
        <v>0.22105263157894736</v>
      </c>
    </row>
    <row r="27" spans="1:36" x14ac:dyDescent="0.5">
      <c r="A27" s="1">
        <v>26</v>
      </c>
      <c r="B27" s="1" t="s">
        <v>86</v>
      </c>
      <c r="C27" s="1" t="s">
        <v>4</v>
      </c>
      <c r="D27" s="1">
        <v>10.72</v>
      </c>
      <c r="E27" s="1">
        <v>9.5999999999999992E-3</v>
      </c>
      <c r="G27" t="s">
        <v>31</v>
      </c>
      <c r="H27">
        <v>0</v>
      </c>
      <c r="I27">
        <f t="shared" si="0"/>
        <v>0</v>
      </c>
      <c r="P27" t="s">
        <v>31</v>
      </c>
      <c r="Q27">
        <v>0</v>
      </c>
      <c r="R27">
        <f t="shared" si="2"/>
        <v>0</v>
      </c>
      <c r="Y27" s="4" t="s">
        <v>31</v>
      </c>
      <c r="Z27" s="4">
        <v>0</v>
      </c>
      <c r="AA27">
        <f t="shared" si="4"/>
        <v>0</v>
      </c>
      <c r="AH27" s="4" t="s">
        <v>31</v>
      </c>
      <c r="AI27" s="4">
        <v>0</v>
      </c>
      <c r="AJ27">
        <f t="shared" si="6"/>
        <v>0</v>
      </c>
    </row>
    <row r="28" spans="1:36" x14ac:dyDescent="0.5">
      <c r="A28" s="1">
        <v>27</v>
      </c>
      <c r="B28" s="1" t="s">
        <v>87</v>
      </c>
      <c r="C28" s="1" t="s">
        <v>4</v>
      </c>
      <c r="D28" s="1">
        <v>7.75</v>
      </c>
      <c r="E28" s="1">
        <v>2.3999999999999998E-3</v>
      </c>
      <c r="G28" t="s">
        <v>32</v>
      </c>
      <c r="H28">
        <v>0</v>
      </c>
      <c r="I28">
        <f>H28/$J$1</f>
        <v>0</v>
      </c>
      <c r="P28" t="s">
        <v>32</v>
      </c>
      <c r="Q28">
        <v>0</v>
      </c>
      <c r="R28">
        <f t="shared" si="2"/>
        <v>0</v>
      </c>
      <c r="Y28" s="4" t="s">
        <v>32</v>
      </c>
      <c r="Z28" s="4">
        <v>0</v>
      </c>
      <c r="AA28">
        <f t="shared" si="4"/>
        <v>0</v>
      </c>
      <c r="AH28" s="4" t="s">
        <v>32</v>
      </c>
      <c r="AI28" s="4">
        <v>0</v>
      </c>
      <c r="AJ28">
        <f t="shared" si="6"/>
        <v>0</v>
      </c>
    </row>
    <row r="29" spans="1:36" x14ac:dyDescent="0.5">
      <c r="A29" s="1">
        <v>28</v>
      </c>
      <c r="B29" s="1" t="s">
        <v>87</v>
      </c>
      <c r="C29" s="1" t="s">
        <v>4</v>
      </c>
      <c r="D29" s="1">
        <v>6.92</v>
      </c>
      <c r="E29" s="1">
        <v>1E-3</v>
      </c>
      <c r="G29" t="s">
        <v>33</v>
      </c>
      <c r="H29">
        <v>0.1794</v>
      </c>
      <c r="I29">
        <f t="shared" si="0"/>
        <v>18.88421052631579</v>
      </c>
      <c r="P29" t="s">
        <v>33</v>
      </c>
      <c r="Q29">
        <v>0.1739</v>
      </c>
      <c r="R29">
        <f t="shared" si="2"/>
        <v>18.305263157894736</v>
      </c>
      <c r="Y29" s="4" t="s">
        <v>33</v>
      </c>
      <c r="Z29" s="4">
        <v>0</v>
      </c>
      <c r="AA29">
        <f t="shared" si="4"/>
        <v>0</v>
      </c>
      <c r="AH29" s="4" t="s">
        <v>33</v>
      </c>
      <c r="AI29" s="4">
        <v>5.4999999999999997E-3</v>
      </c>
      <c r="AJ29">
        <f t="shared" si="6"/>
        <v>0.57894736842105265</v>
      </c>
    </row>
    <row r="30" spans="1:36" x14ac:dyDescent="0.5">
      <c r="A30" s="1"/>
      <c r="B30" s="1"/>
      <c r="C30" s="1"/>
      <c r="D30" s="1"/>
      <c r="E30" s="1"/>
      <c r="G30" t="s">
        <v>58</v>
      </c>
      <c r="H30">
        <v>0</v>
      </c>
      <c r="I30">
        <f t="shared" si="0"/>
        <v>0</v>
      </c>
      <c r="P30" t="s">
        <v>58</v>
      </c>
      <c r="Q30">
        <v>0</v>
      </c>
      <c r="R30">
        <f t="shared" si="2"/>
        <v>0</v>
      </c>
      <c r="Y30" s="4" t="s">
        <v>58</v>
      </c>
      <c r="Z30" s="4">
        <v>0</v>
      </c>
      <c r="AA30">
        <f t="shared" si="4"/>
        <v>0</v>
      </c>
      <c r="AH30" s="4" t="s">
        <v>58</v>
      </c>
      <c r="AI30" s="4">
        <v>0</v>
      </c>
      <c r="AJ30">
        <f t="shared" si="6"/>
        <v>0</v>
      </c>
    </row>
    <row r="31" spans="1:36" x14ac:dyDescent="0.5">
      <c r="A31" s="1"/>
      <c r="B31" s="1"/>
      <c r="C31" s="1"/>
      <c r="D31" s="1"/>
      <c r="E31" s="1"/>
      <c r="G31" t="s">
        <v>59</v>
      </c>
      <c r="H31">
        <v>0</v>
      </c>
      <c r="I31">
        <f t="shared" si="0"/>
        <v>0</v>
      </c>
      <c r="P31" t="s">
        <v>59</v>
      </c>
      <c r="Q31">
        <v>0</v>
      </c>
      <c r="R31">
        <f t="shared" si="2"/>
        <v>0</v>
      </c>
      <c r="Y31" s="4" t="s">
        <v>59</v>
      </c>
      <c r="Z31" s="4">
        <v>0</v>
      </c>
      <c r="AA31">
        <f>Z31/$J$1</f>
        <v>0</v>
      </c>
      <c r="AH31" s="4" t="s">
        <v>59</v>
      </c>
      <c r="AI31" s="4">
        <v>0</v>
      </c>
      <c r="AJ31">
        <f t="shared" si="6"/>
        <v>0</v>
      </c>
    </row>
    <row r="32" spans="1:36" x14ac:dyDescent="0.5">
      <c r="A32" s="1"/>
      <c r="B32" s="1"/>
      <c r="C32" s="1"/>
      <c r="D32" s="1"/>
      <c r="E32" s="1"/>
      <c r="G32" t="s">
        <v>25</v>
      </c>
      <c r="H32">
        <v>0</v>
      </c>
      <c r="I32">
        <f t="shared" si="0"/>
        <v>0</v>
      </c>
      <c r="P32" t="s">
        <v>25</v>
      </c>
      <c r="Q32">
        <v>0</v>
      </c>
      <c r="R32">
        <f t="shared" si="2"/>
        <v>0</v>
      </c>
      <c r="Y32" s="4" t="s">
        <v>25</v>
      </c>
      <c r="Z32" s="4">
        <v>0</v>
      </c>
      <c r="AA32">
        <f t="shared" si="4"/>
        <v>0</v>
      </c>
      <c r="AH32" s="4" t="s">
        <v>25</v>
      </c>
      <c r="AI32" s="4">
        <v>0</v>
      </c>
      <c r="AJ32">
        <f t="shared" si="6"/>
        <v>0</v>
      </c>
    </row>
    <row r="33" spans="1:36" x14ac:dyDescent="0.5">
      <c r="A33" s="1"/>
      <c r="B33" s="11" t="s">
        <v>130</v>
      </c>
      <c r="C33" s="11"/>
      <c r="D33" s="1"/>
      <c r="E33" s="1"/>
      <c r="G33" t="s">
        <v>26</v>
      </c>
      <c r="H33">
        <v>0</v>
      </c>
      <c r="I33">
        <f t="shared" si="0"/>
        <v>0</v>
      </c>
      <c r="P33" t="s">
        <v>26</v>
      </c>
      <c r="Q33">
        <v>0</v>
      </c>
      <c r="R33">
        <f t="shared" si="2"/>
        <v>0</v>
      </c>
      <c r="Y33" s="4" t="s">
        <v>26</v>
      </c>
      <c r="Z33" s="4">
        <v>0</v>
      </c>
      <c r="AA33">
        <f t="shared" si="4"/>
        <v>0</v>
      </c>
      <c r="AH33" s="4" t="s">
        <v>26</v>
      </c>
      <c r="AI33" s="4">
        <v>0</v>
      </c>
      <c r="AJ33">
        <f>AI33/$J$1</f>
        <v>0</v>
      </c>
    </row>
    <row r="34" spans="1:36" x14ac:dyDescent="0.5">
      <c r="A34" s="1">
        <v>68</v>
      </c>
      <c r="B34" s="1" t="s">
        <v>90</v>
      </c>
      <c r="C34" s="1" t="s">
        <v>108</v>
      </c>
      <c r="D34" s="1"/>
      <c r="E34" s="1">
        <v>2.0999999999999999E-3</v>
      </c>
      <c r="G34" t="s">
        <v>27</v>
      </c>
      <c r="H34">
        <v>0</v>
      </c>
      <c r="I34">
        <f t="shared" si="0"/>
        <v>0</v>
      </c>
      <c r="P34" t="s">
        <v>27</v>
      </c>
      <c r="Q34">
        <v>0</v>
      </c>
      <c r="R34">
        <f t="shared" si="2"/>
        <v>0</v>
      </c>
      <c r="Y34" s="4" t="s">
        <v>27</v>
      </c>
      <c r="Z34" s="4">
        <v>0</v>
      </c>
      <c r="AA34">
        <f t="shared" si="4"/>
        <v>0</v>
      </c>
      <c r="AH34" s="4" t="s">
        <v>27</v>
      </c>
      <c r="AI34" s="4">
        <v>0</v>
      </c>
      <c r="AJ34">
        <f t="shared" si="6"/>
        <v>0</v>
      </c>
    </row>
    <row r="35" spans="1:36" x14ac:dyDescent="0.5">
      <c r="A35" s="1">
        <v>67</v>
      </c>
      <c r="B35" s="1" t="s">
        <v>82</v>
      </c>
      <c r="C35" s="1" t="s">
        <v>108</v>
      </c>
      <c r="D35" s="1"/>
      <c r="E35" s="1">
        <v>5.4999999999999997E-3</v>
      </c>
      <c r="G35" t="s">
        <v>60</v>
      </c>
      <c r="H35">
        <v>0</v>
      </c>
      <c r="I35">
        <f t="shared" si="0"/>
        <v>0</v>
      </c>
      <c r="P35" t="s">
        <v>60</v>
      </c>
      <c r="Q35">
        <v>0</v>
      </c>
      <c r="R35">
        <f t="shared" si="2"/>
        <v>0</v>
      </c>
      <c r="Y35" s="4" t="s">
        <v>60</v>
      </c>
      <c r="Z35" s="4">
        <v>0</v>
      </c>
      <c r="AA35">
        <f t="shared" si="4"/>
        <v>0</v>
      </c>
      <c r="AH35" s="4" t="s">
        <v>60</v>
      </c>
      <c r="AI35" s="4">
        <v>0</v>
      </c>
      <c r="AJ35">
        <f t="shared" si="6"/>
        <v>0</v>
      </c>
    </row>
    <row r="36" spans="1:36" x14ac:dyDescent="0.5">
      <c r="A36" s="1">
        <v>70</v>
      </c>
      <c r="B36" s="1" t="s">
        <v>43</v>
      </c>
      <c r="C36" s="1" t="s">
        <v>103</v>
      </c>
      <c r="D36" s="1"/>
      <c r="E36" s="1">
        <v>0</v>
      </c>
      <c r="G36" t="s">
        <v>28</v>
      </c>
      <c r="H36">
        <v>0</v>
      </c>
      <c r="I36">
        <f t="shared" si="0"/>
        <v>0</v>
      </c>
      <c r="P36" t="s">
        <v>28</v>
      </c>
      <c r="Q36">
        <v>0</v>
      </c>
      <c r="R36">
        <f t="shared" si="2"/>
        <v>0</v>
      </c>
      <c r="Y36" s="4" t="s">
        <v>28</v>
      </c>
      <c r="Z36" s="4">
        <v>0</v>
      </c>
      <c r="AA36">
        <f t="shared" si="4"/>
        <v>0</v>
      </c>
      <c r="AH36" s="4" t="s">
        <v>28</v>
      </c>
      <c r="AI36" s="4">
        <v>0</v>
      </c>
      <c r="AJ36">
        <f t="shared" si="6"/>
        <v>0</v>
      </c>
    </row>
    <row r="37" spans="1:36" x14ac:dyDescent="0.5">
      <c r="A37" s="1">
        <v>71</v>
      </c>
      <c r="B37" s="1" t="s">
        <v>91</v>
      </c>
      <c r="C37" s="1" t="s">
        <v>108</v>
      </c>
      <c r="D37" s="1"/>
      <c r="E37" s="1">
        <v>0</v>
      </c>
      <c r="G37" t="s">
        <v>61</v>
      </c>
      <c r="H37">
        <v>0</v>
      </c>
      <c r="I37">
        <f t="shared" si="0"/>
        <v>0</v>
      </c>
      <c r="P37" t="s">
        <v>61</v>
      </c>
      <c r="Q37">
        <v>0</v>
      </c>
      <c r="R37">
        <f t="shared" si="2"/>
        <v>0</v>
      </c>
      <c r="Y37" s="4" t="s">
        <v>61</v>
      </c>
      <c r="Z37" s="4">
        <v>0</v>
      </c>
      <c r="AA37">
        <f t="shared" si="4"/>
        <v>0</v>
      </c>
      <c r="AH37" s="4" t="s">
        <v>61</v>
      </c>
      <c r="AI37" s="4">
        <v>0</v>
      </c>
      <c r="AJ37">
        <f t="shared" si="6"/>
        <v>0</v>
      </c>
    </row>
    <row r="38" spans="1:36" x14ac:dyDescent="0.5">
      <c r="A38" s="1">
        <v>69</v>
      </c>
      <c r="B38" s="1" t="s">
        <v>92</v>
      </c>
      <c r="C38" s="1" t="s">
        <v>103</v>
      </c>
      <c r="D38" s="1"/>
      <c r="E38" s="1">
        <v>0</v>
      </c>
      <c r="G38" t="s">
        <v>29</v>
      </c>
      <c r="H38">
        <v>0</v>
      </c>
      <c r="I38">
        <f t="shared" si="0"/>
        <v>0</v>
      </c>
      <c r="P38" t="s">
        <v>29</v>
      </c>
      <c r="Q38">
        <v>0</v>
      </c>
      <c r="R38">
        <f t="shared" si="2"/>
        <v>0</v>
      </c>
      <c r="Y38" s="4" t="s">
        <v>29</v>
      </c>
      <c r="Z38" s="4">
        <v>0</v>
      </c>
      <c r="AA38">
        <f t="shared" si="4"/>
        <v>0</v>
      </c>
      <c r="AH38" s="4" t="s">
        <v>29</v>
      </c>
      <c r="AI38" s="4">
        <v>0</v>
      </c>
      <c r="AJ38">
        <f t="shared" si="6"/>
        <v>0</v>
      </c>
    </row>
    <row r="39" spans="1:36" x14ac:dyDescent="0.5">
      <c r="A39" s="1">
        <v>85</v>
      </c>
      <c r="B39" s="1" t="s">
        <v>71</v>
      </c>
      <c r="C39" s="1" t="s">
        <v>107</v>
      </c>
      <c r="D39" s="1">
        <v>14.22</v>
      </c>
      <c r="E39" s="1">
        <v>0</v>
      </c>
      <c r="G39" t="s">
        <v>30</v>
      </c>
      <c r="H39">
        <v>0</v>
      </c>
      <c r="I39">
        <f t="shared" si="0"/>
        <v>0</v>
      </c>
      <c r="P39" t="s">
        <v>30</v>
      </c>
      <c r="Q39">
        <v>0</v>
      </c>
      <c r="R39">
        <f t="shared" si="2"/>
        <v>0</v>
      </c>
      <c r="Y39" s="4" t="s">
        <v>30</v>
      </c>
      <c r="Z39" s="4">
        <v>0</v>
      </c>
      <c r="AA39">
        <f t="shared" si="4"/>
        <v>0</v>
      </c>
      <c r="AH39" s="4" t="s">
        <v>30</v>
      </c>
      <c r="AI39" s="4">
        <v>0</v>
      </c>
      <c r="AJ39">
        <f t="shared" si="6"/>
        <v>0</v>
      </c>
    </row>
    <row r="40" spans="1:36" x14ac:dyDescent="0.5">
      <c r="A40" s="11"/>
      <c r="B40" s="11"/>
      <c r="C40" s="11"/>
      <c r="D40" s="11"/>
      <c r="E40" s="1"/>
      <c r="G40" t="s">
        <v>62</v>
      </c>
      <c r="H40">
        <v>0</v>
      </c>
      <c r="I40">
        <f>H40/$J$1</f>
        <v>0</v>
      </c>
      <c r="P40" t="s">
        <v>62</v>
      </c>
      <c r="Q40">
        <v>0</v>
      </c>
      <c r="R40">
        <f t="shared" si="2"/>
        <v>0</v>
      </c>
      <c r="Y40" s="4" t="s">
        <v>62</v>
      </c>
      <c r="Z40" s="4">
        <v>0</v>
      </c>
      <c r="AA40">
        <f t="shared" si="4"/>
        <v>0</v>
      </c>
      <c r="AH40" s="4" t="s">
        <v>62</v>
      </c>
      <c r="AI40" s="4">
        <v>0</v>
      </c>
      <c r="AJ40">
        <f t="shared" si="6"/>
        <v>0</v>
      </c>
    </row>
    <row r="41" spans="1:36" x14ac:dyDescent="0.5">
      <c r="G41" t="s">
        <v>63</v>
      </c>
      <c r="H41">
        <v>0</v>
      </c>
      <c r="I41">
        <f t="shared" si="0"/>
        <v>0</v>
      </c>
      <c r="P41" t="s">
        <v>63</v>
      </c>
      <c r="Q41">
        <v>0</v>
      </c>
      <c r="R41">
        <f t="shared" si="2"/>
        <v>0</v>
      </c>
      <c r="Y41" s="4" t="s">
        <v>63</v>
      </c>
      <c r="Z41" s="4">
        <v>0</v>
      </c>
      <c r="AA41">
        <f t="shared" si="4"/>
        <v>0</v>
      </c>
      <c r="AH41" s="4" t="s">
        <v>63</v>
      </c>
      <c r="AI41" s="4">
        <v>0</v>
      </c>
      <c r="AJ41">
        <f t="shared" si="6"/>
        <v>0</v>
      </c>
    </row>
    <row r="42" spans="1:36" x14ac:dyDescent="0.5">
      <c r="G42" t="s">
        <v>64</v>
      </c>
      <c r="H42">
        <v>0</v>
      </c>
      <c r="I42">
        <f t="shared" si="0"/>
        <v>0</v>
      </c>
      <c r="P42" t="s">
        <v>64</v>
      </c>
      <c r="Q42">
        <v>0</v>
      </c>
      <c r="R42">
        <f>Q42/$J$1</f>
        <v>0</v>
      </c>
      <c r="Y42" s="4" t="s">
        <v>64</v>
      </c>
      <c r="Z42" s="4">
        <v>0</v>
      </c>
      <c r="AA42">
        <f t="shared" si="4"/>
        <v>0</v>
      </c>
      <c r="AH42" s="4" t="s">
        <v>64</v>
      </c>
      <c r="AI42" s="4">
        <v>0</v>
      </c>
      <c r="AJ42">
        <f t="shared" si="6"/>
        <v>0</v>
      </c>
    </row>
    <row r="43" spans="1:36" x14ac:dyDescent="0.5">
      <c r="G43" t="s">
        <v>65</v>
      </c>
      <c r="H43">
        <v>0</v>
      </c>
      <c r="I43">
        <f t="shared" si="0"/>
        <v>0</v>
      </c>
      <c r="P43" t="s">
        <v>65</v>
      </c>
      <c r="Q43">
        <v>0</v>
      </c>
      <c r="R43">
        <f t="shared" si="2"/>
        <v>0</v>
      </c>
      <c r="Y43" s="4" t="s">
        <v>65</v>
      </c>
      <c r="Z43" s="4">
        <v>0</v>
      </c>
      <c r="AA43">
        <f t="shared" si="4"/>
        <v>0</v>
      </c>
      <c r="AH43" s="4" t="s">
        <v>65</v>
      </c>
      <c r="AI43" s="4">
        <v>0</v>
      </c>
      <c r="AJ43">
        <f t="shared" si="6"/>
        <v>0</v>
      </c>
    </row>
    <row r="44" spans="1:36" x14ac:dyDescent="0.5">
      <c r="G44" t="s">
        <v>66</v>
      </c>
      <c r="H44" s="1">
        <v>3.2000000000000002E-3</v>
      </c>
      <c r="I44">
        <f t="shared" si="0"/>
        <v>0.33684210526315794</v>
      </c>
      <c r="P44" t="s">
        <v>66</v>
      </c>
      <c r="Q44" s="1">
        <v>0</v>
      </c>
      <c r="R44">
        <f t="shared" si="2"/>
        <v>0</v>
      </c>
      <c r="Y44" s="4" t="s">
        <v>66</v>
      </c>
      <c r="Z44" s="4">
        <v>3.2000000000000002E-3</v>
      </c>
      <c r="AA44">
        <f t="shared" si="4"/>
        <v>0.33684210526315794</v>
      </c>
      <c r="AH44" s="4" t="s">
        <v>66</v>
      </c>
      <c r="AI44" s="4">
        <v>0</v>
      </c>
      <c r="AJ44">
        <f t="shared" si="6"/>
        <v>0</v>
      </c>
    </row>
    <row r="45" spans="1:36" x14ac:dyDescent="0.5">
      <c r="G45" t="s">
        <v>67</v>
      </c>
      <c r="H45">
        <v>0</v>
      </c>
      <c r="I45">
        <f t="shared" si="0"/>
        <v>0</v>
      </c>
      <c r="P45" t="s">
        <v>67</v>
      </c>
      <c r="Q45">
        <v>0</v>
      </c>
      <c r="R45">
        <f t="shared" si="2"/>
        <v>0</v>
      </c>
      <c r="Y45" s="4" t="s">
        <v>67</v>
      </c>
      <c r="Z45" s="4">
        <v>0</v>
      </c>
      <c r="AA45">
        <f t="shared" si="4"/>
        <v>0</v>
      </c>
      <c r="AH45" s="4" t="s">
        <v>67</v>
      </c>
      <c r="AI45" s="4">
        <v>0</v>
      </c>
      <c r="AJ45">
        <f t="shared" si="6"/>
        <v>0</v>
      </c>
    </row>
    <row r="46" spans="1:36" x14ac:dyDescent="0.5">
      <c r="G46" t="s">
        <v>68</v>
      </c>
      <c r="H46">
        <v>0</v>
      </c>
      <c r="I46">
        <f t="shared" si="0"/>
        <v>0</v>
      </c>
      <c r="P46" t="s">
        <v>68</v>
      </c>
      <c r="Q46">
        <v>0</v>
      </c>
      <c r="R46">
        <f t="shared" si="2"/>
        <v>0</v>
      </c>
      <c r="Y46" s="4" t="s">
        <v>68</v>
      </c>
      <c r="Z46" s="4">
        <v>0</v>
      </c>
      <c r="AA46">
        <f t="shared" si="4"/>
        <v>0</v>
      </c>
      <c r="AH46" s="4" t="s">
        <v>68</v>
      </c>
      <c r="AI46" s="4">
        <v>0</v>
      </c>
      <c r="AJ46">
        <f t="shared" si="6"/>
        <v>0</v>
      </c>
    </row>
    <row r="47" spans="1:36" x14ac:dyDescent="0.5">
      <c r="G47" t="s">
        <v>21</v>
      </c>
      <c r="H47">
        <v>0</v>
      </c>
      <c r="I47">
        <f t="shared" si="0"/>
        <v>0</v>
      </c>
      <c r="P47" t="s">
        <v>21</v>
      </c>
      <c r="Q47">
        <v>0</v>
      </c>
      <c r="R47">
        <f t="shared" si="2"/>
        <v>0</v>
      </c>
      <c r="Y47" s="4" t="s">
        <v>21</v>
      </c>
      <c r="Z47" s="4">
        <v>0</v>
      </c>
      <c r="AA47">
        <f t="shared" si="4"/>
        <v>0</v>
      </c>
      <c r="AH47" s="4" t="s">
        <v>21</v>
      </c>
      <c r="AI47" s="4">
        <v>0</v>
      </c>
      <c r="AJ47">
        <f t="shared" si="6"/>
        <v>0</v>
      </c>
    </row>
    <row r="48" spans="1:36" x14ac:dyDescent="0.5">
      <c r="G48" t="s">
        <v>22</v>
      </c>
      <c r="H48">
        <v>0</v>
      </c>
      <c r="I48">
        <f t="shared" si="0"/>
        <v>0</v>
      </c>
      <c r="P48" t="s">
        <v>22</v>
      </c>
      <c r="Q48">
        <v>0</v>
      </c>
      <c r="R48">
        <f t="shared" si="2"/>
        <v>0</v>
      </c>
      <c r="Y48" s="4" t="s">
        <v>22</v>
      </c>
      <c r="Z48" s="4">
        <v>0</v>
      </c>
      <c r="AA48">
        <f t="shared" si="4"/>
        <v>0</v>
      </c>
      <c r="AH48" s="4" t="s">
        <v>22</v>
      </c>
      <c r="AI48" s="4">
        <v>0</v>
      </c>
      <c r="AJ48">
        <f t="shared" si="6"/>
        <v>0</v>
      </c>
    </row>
    <row r="49" spans="7:36" x14ac:dyDescent="0.5">
      <c r="G49" t="s">
        <v>23</v>
      </c>
      <c r="H49" s="1">
        <v>0</v>
      </c>
      <c r="I49">
        <f t="shared" si="0"/>
        <v>0</v>
      </c>
      <c r="P49" t="s">
        <v>23</v>
      </c>
      <c r="Q49" s="1">
        <v>0</v>
      </c>
      <c r="R49">
        <f t="shared" si="2"/>
        <v>0</v>
      </c>
      <c r="Y49" s="4" t="s">
        <v>23</v>
      </c>
      <c r="Z49" s="1">
        <v>0</v>
      </c>
      <c r="AA49">
        <f t="shared" si="4"/>
        <v>0</v>
      </c>
      <c r="AH49" s="4" t="s">
        <v>23</v>
      </c>
      <c r="AI49" s="1">
        <v>0</v>
      </c>
      <c r="AJ49">
        <f t="shared" si="6"/>
        <v>0</v>
      </c>
    </row>
    <row r="50" spans="7:36" x14ac:dyDescent="0.5">
      <c r="G50" t="s">
        <v>24</v>
      </c>
      <c r="H50" s="1">
        <v>1.52E-2</v>
      </c>
      <c r="I50">
        <f t="shared" si="0"/>
        <v>1.6</v>
      </c>
      <c r="P50" t="s">
        <v>24</v>
      </c>
      <c r="Q50" s="1">
        <v>0</v>
      </c>
      <c r="R50">
        <f t="shared" si="2"/>
        <v>0</v>
      </c>
      <c r="Y50" s="4" t="s">
        <v>24</v>
      </c>
      <c r="Z50" s="1">
        <v>1.52E-2</v>
      </c>
      <c r="AA50">
        <f t="shared" si="4"/>
        <v>1.6</v>
      </c>
      <c r="AH50" s="4" t="s">
        <v>24</v>
      </c>
      <c r="AI50" s="1">
        <v>0</v>
      </c>
      <c r="AJ50">
        <f t="shared" si="6"/>
        <v>0</v>
      </c>
    </row>
    <row r="51" spans="7:36" x14ac:dyDescent="0.5">
      <c r="G51" t="s">
        <v>69</v>
      </c>
      <c r="H51">
        <v>0</v>
      </c>
      <c r="I51">
        <f t="shared" si="0"/>
        <v>0</v>
      </c>
      <c r="P51" t="s">
        <v>69</v>
      </c>
      <c r="Q51">
        <v>0</v>
      </c>
      <c r="R51">
        <f t="shared" si="2"/>
        <v>0</v>
      </c>
      <c r="Y51" s="4" t="s">
        <v>69</v>
      </c>
      <c r="Z51" s="4">
        <v>0</v>
      </c>
      <c r="AA51">
        <f t="shared" si="4"/>
        <v>0</v>
      </c>
      <c r="AH51" s="4" t="s">
        <v>69</v>
      </c>
      <c r="AI51" s="4">
        <v>0</v>
      </c>
      <c r="AJ51">
        <f t="shared" si="6"/>
        <v>0</v>
      </c>
    </row>
  </sheetData>
  <mergeCells count="2">
    <mergeCell ref="B33:C33"/>
    <mergeCell ref="A40:D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E9D0-AD3A-C944-A8B3-8DB85E4B6E7C}">
  <dimension ref="A1:H11"/>
  <sheetViews>
    <sheetView workbookViewId="0">
      <selection activeCell="K2" sqref="K2:O6"/>
    </sheetView>
  </sheetViews>
  <sheetFormatPr baseColWidth="10" defaultRowHeight="15.75" x14ac:dyDescent="0.5"/>
  <sheetData>
    <row r="1" spans="1:8" s="6" customFormat="1" x14ac:dyDescent="0.5">
      <c r="A1" s="6" t="s">
        <v>116</v>
      </c>
      <c r="B1" s="6" t="s">
        <v>116</v>
      </c>
      <c r="C1" s="6" t="s">
        <v>123</v>
      </c>
      <c r="D1" s="6" t="s">
        <v>124</v>
      </c>
      <c r="F1" s="6" t="s">
        <v>116</v>
      </c>
      <c r="G1" s="6" t="s">
        <v>125</v>
      </c>
      <c r="H1" s="6" t="s">
        <v>126</v>
      </c>
    </row>
    <row r="2" spans="1:8" x14ac:dyDescent="0.5">
      <c r="A2">
        <v>1</v>
      </c>
      <c r="B2">
        <v>1</v>
      </c>
      <c r="C2">
        <v>694.73684210526312</v>
      </c>
      <c r="D2">
        <v>105.26315789473685</v>
      </c>
      <c r="F2">
        <v>1</v>
      </c>
      <c r="G2">
        <v>17.663157894736848</v>
      </c>
      <c r="H2">
        <v>16.842105263157897</v>
      </c>
    </row>
    <row r="3" spans="1:8" x14ac:dyDescent="0.5">
      <c r="A3">
        <v>2</v>
      </c>
      <c r="B3">
        <v>2</v>
      </c>
      <c r="C3">
        <v>126.31578947368423</v>
      </c>
      <c r="D3">
        <v>84.21052631578948</v>
      </c>
      <c r="F3">
        <v>2</v>
      </c>
      <c r="G3">
        <v>0.90526315789473677</v>
      </c>
      <c r="H3">
        <v>5.3305263157894736</v>
      </c>
    </row>
    <row r="4" spans="1:8" x14ac:dyDescent="0.5">
      <c r="A4">
        <v>3</v>
      </c>
      <c r="B4">
        <v>3</v>
      </c>
      <c r="C4">
        <v>84.21052631578948</v>
      </c>
      <c r="D4">
        <v>168.42105263157899</v>
      </c>
      <c r="F4">
        <v>3</v>
      </c>
      <c r="G4">
        <v>2.2947368421052632</v>
      </c>
      <c r="H4">
        <v>2.532631578947369</v>
      </c>
    </row>
    <row r="5" spans="1:8" x14ac:dyDescent="0.5">
      <c r="A5">
        <v>4</v>
      </c>
      <c r="B5">
        <v>4</v>
      </c>
      <c r="C5">
        <v>84.21052631578948</v>
      </c>
      <c r="D5">
        <v>21.05263157894737</v>
      </c>
      <c r="F5">
        <v>4</v>
      </c>
      <c r="G5">
        <v>1.0105263157894737</v>
      </c>
      <c r="H5">
        <v>0.12631578947368421</v>
      </c>
    </row>
    <row r="6" spans="1:8" x14ac:dyDescent="0.5">
      <c r="A6">
        <v>5</v>
      </c>
      <c r="B6">
        <v>5</v>
      </c>
      <c r="C6">
        <v>252.63157894736841</v>
      </c>
      <c r="D6">
        <v>189.47368421052633</v>
      </c>
      <c r="F6">
        <v>5</v>
      </c>
      <c r="G6">
        <v>1.8526315789473684</v>
      </c>
      <c r="H6">
        <v>10.684210526315791</v>
      </c>
    </row>
    <row r="7" spans="1:8" x14ac:dyDescent="0.5">
      <c r="A7">
        <v>6</v>
      </c>
      <c r="B7">
        <v>6</v>
      </c>
      <c r="C7">
        <v>252.63157894736841</v>
      </c>
      <c r="D7">
        <v>84.21052631578948</v>
      </c>
      <c r="F7">
        <v>6</v>
      </c>
      <c r="G7">
        <v>1.8526315789473689</v>
      </c>
      <c r="H7">
        <v>3.776842105263158</v>
      </c>
    </row>
    <row r="8" spans="1:8" x14ac:dyDescent="0.5">
      <c r="A8">
        <v>7</v>
      </c>
      <c r="B8">
        <v>7</v>
      </c>
      <c r="C8">
        <v>126.31578947368421</v>
      </c>
      <c r="D8">
        <v>21.05263157894737</v>
      </c>
      <c r="F8">
        <v>7</v>
      </c>
      <c r="G8">
        <v>0.73684210526315785</v>
      </c>
      <c r="H8">
        <v>0</v>
      </c>
    </row>
    <row r="9" spans="1:8" x14ac:dyDescent="0.5">
      <c r="A9">
        <v>8</v>
      </c>
      <c r="B9">
        <v>8</v>
      </c>
      <c r="C9">
        <v>105.26315789473685</v>
      </c>
      <c r="D9">
        <v>0</v>
      </c>
      <c r="F9">
        <v>8</v>
      </c>
      <c r="G9">
        <v>3.6</v>
      </c>
      <c r="H9">
        <v>0</v>
      </c>
    </row>
    <row r="10" spans="1:8" x14ac:dyDescent="0.5">
      <c r="A10">
        <v>9</v>
      </c>
      <c r="B10">
        <v>9</v>
      </c>
      <c r="C10">
        <v>42.10526315789474</v>
      </c>
      <c r="D10">
        <v>21.05263157894737</v>
      </c>
      <c r="F10">
        <v>9</v>
      </c>
      <c r="G10">
        <v>1.1789473684210527</v>
      </c>
      <c r="H10">
        <v>6.7368421052631591E-2</v>
      </c>
    </row>
    <row r="11" spans="1:8" x14ac:dyDescent="0.5">
      <c r="A11">
        <v>10</v>
      </c>
      <c r="B11">
        <v>10</v>
      </c>
      <c r="C11">
        <v>231.5789473684211</v>
      </c>
      <c r="D11">
        <v>21.05263157894737</v>
      </c>
      <c r="F11">
        <v>10</v>
      </c>
      <c r="G11">
        <v>3.6631578947368424</v>
      </c>
      <c r="H11">
        <v>0.32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density 2021</vt:lpstr>
      <vt:lpstr>density 2022</vt:lpstr>
      <vt:lpstr>Biomass2021</vt:lpstr>
      <vt:lpstr>Biomass 2022</vt:lpstr>
      <vt:lpstr>Dens y biom 2122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</dc:creator>
  <cp:lastModifiedBy>Josefina Fernández</cp:lastModifiedBy>
  <dcterms:created xsi:type="dcterms:W3CDTF">2024-01-24T14:53:20Z</dcterms:created>
  <dcterms:modified xsi:type="dcterms:W3CDTF">2025-07-14T15:17:18Z</dcterms:modified>
</cp:coreProperties>
</file>