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6" windowHeight="11160"/>
  </bookViews>
  <sheets>
    <sheet name="Sheet1" sheetId="1" r:id="rId1"/>
    <sheet name="Sheet2" sheetId="2" r:id="rId2"/>
    <sheet name="Sheet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31" i="1" l="1"/>
  <c r="S32" i="1"/>
  <c r="S30" i="1"/>
  <c r="S26" i="1"/>
  <c r="S27" i="1"/>
  <c r="S25" i="1"/>
  <c r="U25" i="1" l="1"/>
  <c r="P31" i="1"/>
  <c r="P32" i="1"/>
  <c r="P30" i="1"/>
  <c r="N31" i="1"/>
  <c r="N32" i="1"/>
  <c r="N30" i="1"/>
  <c r="P26" i="1"/>
  <c r="P27" i="1"/>
  <c r="P25" i="1"/>
  <c r="N26" i="1"/>
  <c r="N27" i="1"/>
  <c r="N25" i="1"/>
  <c r="U26" i="1"/>
  <c r="T26" i="1"/>
  <c r="T43" i="1"/>
  <c r="D25" i="1" l="1"/>
  <c r="J50" i="1"/>
  <c r="H50" i="1"/>
  <c r="F50" i="1"/>
  <c r="E50" i="1"/>
  <c r="D50" i="1"/>
  <c r="E45" i="1" l="1"/>
  <c r="E44" i="1"/>
  <c r="E43" i="1"/>
  <c r="F43" i="1" s="1"/>
  <c r="E40" i="1"/>
  <c r="F40" i="1" s="1"/>
  <c r="E39" i="1"/>
  <c r="E38" i="1"/>
  <c r="F38" i="1" s="1"/>
  <c r="D30" i="1"/>
  <c r="F30" i="1" s="1"/>
  <c r="G26" i="1"/>
  <c r="H26" i="1" s="1"/>
  <c r="O26" i="1" s="1"/>
  <c r="F25" i="1"/>
  <c r="K7" i="1"/>
  <c r="G32" i="1" s="1"/>
  <c r="H32" i="1" s="1"/>
  <c r="O32" i="1" s="1"/>
  <c r="G8" i="1"/>
  <c r="K6" i="1"/>
  <c r="D32" i="1" s="1"/>
  <c r="F32" i="1" s="1"/>
  <c r="E21" i="1"/>
  <c r="F21" i="1" s="1"/>
  <c r="H21" i="1" s="1"/>
  <c r="E20" i="1"/>
  <c r="F20" i="1" s="1"/>
  <c r="H20" i="1" s="1"/>
  <c r="J20" i="1" s="1"/>
  <c r="K20" i="1" s="1"/>
  <c r="L20" i="1" s="1"/>
  <c r="M20" i="1" s="1"/>
  <c r="E19" i="1"/>
  <c r="T14" i="1"/>
  <c r="Z11" i="1"/>
  <c r="T13" i="1" s="1"/>
  <c r="X11" i="1"/>
  <c r="R15" i="1" s="1"/>
  <c r="O13" i="1"/>
  <c r="E15" i="1"/>
  <c r="G15" i="1" s="1"/>
  <c r="I15" i="1" s="1"/>
  <c r="J15" i="1" s="1"/>
  <c r="K15" i="1" s="1"/>
  <c r="D13" i="1"/>
  <c r="E13" i="1" s="1"/>
  <c r="G13" i="1" s="1"/>
  <c r="I13" i="1" s="1"/>
  <c r="J13" i="1" s="1"/>
  <c r="K13" i="1" s="1"/>
  <c r="D14" i="1"/>
  <c r="E14" i="1" s="1"/>
  <c r="G14" i="1" s="1"/>
  <c r="I14" i="1" s="1"/>
  <c r="J14" i="1" s="1"/>
  <c r="K14" i="1" s="1"/>
  <c r="D15" i="1"/>
  <c r="D6" i="1"/>
  <c r="E6" i="1" s="1"/>
  <c r="F6" i="1" s="1"/>
  <c r="H6" i="1" s="1"/>
  <c r="I6" i="1" s="1"/>
  <c r="N3" i="1"/>
  <c r="L3" i="1"/>
  <c r="L2" i="1"/>
  <c r="F44" i="1" s="1"/>
  <c r="Q44" i="1" l="1"/>
  <c r="R44" i="1" s="1"/>
  <c r="H44" i="1"/>
  <c r="J44" i="1" s="1"/>
  <c r="K30" i="1"/>
  <c r="M30" i="1"/>
  <c r="Q43" i="1"/>
  <c r="R43" i="1" s="1"/>
  <c r="H43" i="1"/>
  <c r="J43" i="1" s="1"/>
  <c r="N43" i="1" s="1"/>
  <c r="M32" i="1"/>
  <c r="J32" i="1"/>
  <c r="K32" i="1"/>
  <c r="H40" i="1"/>
  <c r="J40" i="1" s="1"/>
  <c r="Q40" i="1"/>
  <c r="R40" i="1" s="1"/>
  <c r="W40" i="1" s="1"/>
  <c r="H38" i="1"/>
  <c r="J38" i="1" s="1"/>
  <c r="Q38" i="1"/>
  <c r="R38" i="1" s="1"/>
  <c r="W38" i="1" s="1"/>
  <c r="M25" i="1"/>
  <c r="J25" i="1"/>
  <c r="T15" i="1"/>
  <c r="D26" i="1"/>
  <c r="F26" i="1" s="1"/>
  <c r="D31" i="1"/>
  <c r="F31" i="1" s="1"/>
  <c r="H8" i="1"/>
  <c r="I8" i="1" s="1"/>
  <c r="R13" i="1"/>
  <c r="G25" i="1"/>
  <c r="H25" i="1" s="1"/>
  <c r="O25" i="1" s="1"/>
  <c r="D27" i="1"/>
  <c r="F27" i="1" s="1"/>
  <c r="G30" i="1"/>
  <c r="H30" i="1" s="1"/>
  <c r="O30" i="1" s="1"/>
  <c r="F45" i="1"/>
  <c r="R14" i="1"/>
  <c r="F19" i="1"/>
  <c r="H19" i="1" s="1"/>
  <c r="J19" i="1" s="1"/>
  <c r="K19" i="1" s="1"/>
  <c r="L19" i="1" s="1"/>
  <c r="M19" i="1" s="1"/>
  <c r="N19" i="1" s="1"/>
  <c r="G27" i="1"/>
  <c r="H27" i="1" s="1"/>
  <c r="O27" i="1" s="1"/>
  <c r="G31" i="1"/>
  <c r="H31" i="1" s="1"/>
  <c r="O31" i="1" s="1"/>
  <c r="F39" i="1"/>
  <c r="Z40" i="1"/>
  <c r="H39" i="1" l="1"/>
  <c r="J39" i="1" s="1"/>
  <c r="Q39" i="1"/>
  <c r="R39" i="1" s="1"/>
  <c r="W39" i="1" s="1"/>
  <c r="J26" i="1"/>
  <c r="K26" i="1"/>
  <c r="M26" i="1"/>
  <c r="Q25" i="1"/>
  <c r="T25" i="1" s="1"/>
  <c r="R25" i="1"/>
  <c r="N40" i="1"/>
  <c r="J30" i="1"/>
  <c r="N44" i="1"/>
  <c r="T19" i="1"/>
  <c r="R19" i="1"/>
  <c r="J27" i="1"/>
  <c r="M27" i="1"/>
  <c r="K27" i="1"/>
  <c r="K31" i="1"/>
  <c r="M31" i="1"/>
  <c r="J31" i="1"/>
  <c r="Q32" i="1"/>
  <c r="R32" i="1"/>
  <c r="H45" i="1"/>
  <c r="J45" i="1" s="1"/>
  <c r="N45" i="1" s="1"/>
  <c r="Q45" i="1"/>
  <c r="R45" i="1" s="1"/>
  <c r="T45" i="1" s="1"/>
  <c r="X40" i="1"/>
  <c r="K25" i="1"/>
  <c r="N38" i="1"/>
  <c r="Z38" i="1"/>
  <c r="X38" i="1"/>
  <c r="Q30" i="1"/>
  <c r="R30" i="1"/>
  <c r="T44" i="1"/>
  <c r="Q27" i="1" l="1"/>
  <c r="R27" i="1"/>
  <c r="R31" i="1"/>
  <c r="Q31" i="1"/>
  <c r="Q26" i="1"/>
  <c r="R26" i="1"/>
  <c r="Z39" i="1"/>
  <c r="N39" i="1"/>
  <c r="X39" i="1"/>
</calcChain>
</file>

<file path=xl/sharedStrings.xml><?xml version="1.0" encoding="utf-8"?>
<sst xmlns="http://schemas.openxmlformats.org/spreadsheetml/2006/main" count="96" uniqueCount="54">
  <si>
    <t>abs</t>
  </si>
  <si>
    <t>ppb</t>
  </si>
  <si>
    <t>madre</t>
  </si>
  <si>
    <t>a</t>
  </si>
  <si>
    <t>b</t>
  </si>
  <si>
    <t>promedio</t>
  </si>
  <si>
    <t>(resto blanco)</t>
  </si>
  <si>
    <t>ppb mg/L</t>
  </si>
  <si>
    <t xml:space="preserve"> resto blanco</t>
  </si>
  <si>
    <t>molar</t>
  </si>
  <si>
    <t>geles}</t>
  </si>
  <si>
    <t>0.05M</t>
  </si>
  <si>
    <t>menos blanco</t>
  </si>
  <si>
    <t>mg</t>
  </si>
  <si>
    <t>eso en 50 ul</t>
  </si>
  <si>
    <t>mol Ag</t>
  </si>
  <si>
    <t>peso geles seco</t>
  </si>
  <si>
    <t>peso geles humedo</t>
  </si>
  <si>
    <t>tengo g/cuadrado</t>
  </si>
  <si>
    <t>conc en peso humedo</t>
  </si>
  <si>
    <t>conc en peso seco</t>
  </si>
  <si>
    <t>0.1M</t>
  </si>
  <si>
    <t>menos blacno</t>
  </si>
  <si>
    <t>ppb (según 30 pb)</t>
  </si>
  <si>
    <t>g/cuadrado</t>
  </si>
  <si>
    <t>c</t>
  </si>
  <si>
    <t>d</t>
  </si>
  <si>
    <t>e</t>
  </si>
  <si>
    <t>si considero que mis madres son las referencias:</t>
  </si>
  <si>
    <t>ppb considerando dato de 30 pp</t>
  </si>
  <si>
    <t>según 0.1</t>
  </si>
  <si>
    <t>considerando madre0.05</t>
  </si>
  <si>
    <t>promedio Molaridad</t>
  </si>
  <si>
    <t>desvio</t>
  </si>
  <si>
    <t>según 0.05 (M)</t>
  </si>
  <si>
    <t>según 0.1 (M)</t>
  </si>
  <si>
    <t>.</t>
  </si>
  <si>
    <t>promedio g/lL masa</t>
  </si>
  <si>
    <t>conc masa 1 (g/L)</t>
  </si>
  <si>
    <t xml:space="preserve"> conc masa 2</t>
  </si>
  <si>
    <t>conc masa 2</t>
  </si>
  <si>
    <t>masa gr</t>
  </si>
  <si>
    <t>%</t>
  </si>
  <si>
    <t>liberacion</t>
  </si>
  <si>
    <t>molaridad corregida (corresponde a conc en 500 ul de swelling)</t>
  </si>
  <si>
    <t>%liberacion</t>
  </si>
  <si>
    <t>promedio  molaridad</t>
  </si>
  <si>
    <t>sgun 0.1</t>
  </si>
  <si>
    <t>molaridad corregida</t>
  </si>
  <si>
    <t>pablo</t>
  </si>
  <si>
    <t>según madre 0,05</t>
  </si>
  <si>
    <t xml:space="preserve">menos blanco </t>
  </si>
  <si>
    <t>conc correjida M</t>
  </si>
  <si>
    <t xml:space="preserve">ppb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</si>
</sst>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0" borderId="0" xfId="0" applyFont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"/>
  <sheetViews>
    <sheetView tabSelected="1" topLeftCell="E22" workbookViewId="0">
      <selection activeCell="S30" sqref="S30:S32"/>
    </sheetView>
  </sheetViews>
  <sheetFormatPr defaultColWidth="9.109375" defaultRowHeight="14.4" x14ac:dyDescent="0.3"/>
  <cols>
    <col min="4" max="4" width="12" bestFit="1" customWidth="1"/>
    <col min="6" max="8" width="12" bestFit="1" customWidth="1"/>
    <col min="10" max="10" width="16.33203125" bestFit="1" customWidth="1"/>
    <col min="11" max="11" width="12" bestFit="1" customWidth="1"/>
    <col min="13" max="13" width="15.5546875" bestFit="1" customWidth="1"/>
    <col min="15" max="16" width="20.5546875" customWidth="1"/>
    <col min="17" max="18" width="12" bestFit="1" customWidth="1"/>
    <col min="19" max="19" width="15.33203125" customWidth="1"/>
    <col min="20" max="21" width="12" bestFit="1" customWidth="1"/>
    <col min="24" max="24" width="12" bestFit="1" customWidth="1"/>
    <col min="26" max="26" width="12" bestFit="1" customWidth="1"/>
  </cols>
  <sheetData>
    <row r="1" spans="1:26" ht="15" x14ac:dyDescent="0.25">
      <c r="A1" t="s">
        <v>1</v>
      </c>
      <c r="L1" t="s">
        <v>5</v>
      </c>
      <c r="N1" t="s">
        <v>0</v>
      </c>
      <c r="X1" t="s">
        <v>17</v>
      </c>
      <c r="Z1" t="s">
        <v>16</v>
      </c>
    </row>
    <row r="2" spans="1:26" ht="15" x14ac:dyDescent="0.25">
      <c r="A2">
        <v>0</v>
      </c>
      <c r="B2">
        <v>7.2900000000000006E-2</v>
      </c>
      <c r="C2">
        <v>1.9E-2</v>
      </c>
      <c r="D2">
        <v>7.7799999999999994E-2</v>
      </c>
      <c r="E2">
        <v>7.4499999999999997E-2</v>
      </c>
      <c r="F2">
        <v>8.2400000000000001E-2</v>
      </c>
      <c r="G2">
        <v>8.1199999999999994E-2</v>
      </c>
      <c r="H2">
        <v>0.03</v>
      </c>
      <c r="I2">
        <v>1.7899999999999999E-2</v>
      </c>
      <c r="J2">
        <v>0.02</v>
      </c>
      <c r="L2">
        <f>AVERAGE(B2:J2)</f>
        <v>5.2855555555555558E-2</v>
      </c>
      <c r="X2">
        <v>29.2</v>
      </c>
      <c r="Z2">
        <v>4</v>
      </c>
    </row>
    <row r="3" spans="1:26" ht="15" x14ac:dyDescent="0.25">
      <c r="A3" s="1">
        <v>30</v>
      </c>
      <c r="B3">
        <v>0.17799999999999999</v>
      </c>
      <c r="C3">
        <v>0.19359999999999999</v>
      </c>
      <c r="D3">
        <v>0.17319999999999999</v>
      </c>
      <c r="L3">
        <f>AVERAGE(B3:D3)</f>
        <v>0.18159999999999998</v>
      </c>
      <c r="N3" s="1">
        <f>L3-L2</f>
        <v>0.12874444444444444</v>
      </c>
      <c r="O3" t="s">
        <v>6</v>
      </c>
      <c r="X3">
        <v>26.4</v>
      </c>
      <c r="Z3">
        <v>4.5</v>
      </c>
    </row>
    <row r="4" spans="1:26" ht="15" x14ac:dyDescent="0.25">
      <c r="X4">
        <v>25.2</v>
      </c>
      <c r="Z4">
        <v>7.6</v>
      </c>
    </row>
    <row r="5" spans="1:26" ht="15" x14ac:dyDescent="0.25">
      <c r="A5" t="s">
        <v>2</v>
      </c>
      <c r="B5" t="s">
        <v>3</v>
      </c>
      <c r="C5" t="s">
        <v>4</v>
      </c>
      <c r="D5" t="s">
        <v>5</v>
      </c>
      <c r="E5" t="s">
        <v>8</v>
      </c>
      <c r="F5" t="s">
        <v>1</v>
      </c>
      <c r="H5" t="s">
        <v>7</v>
      </c>
      <c r="I5" s="2" t="s">
        <v>9</v>
      </c>
      <c r="K5" t="s">
        <v>28</v>
      </c>
      <c r="X5">
        <v>26.4</v>
      </c>
      <c r="Z5">
        <v>5.4</v>
      </c>
    </row>
    <row r="6" spans="1:26" ht="15" x14ac:dyDescent="0.25">
      <c r="A6">
        <v>0.05</v>
      </c>
      <c r="B6">
        <v>0.2263</v>
      </c>
      <c r="C6">
        <v>0.21990000000000001</v>
      </c>
      <c r="D6">
        <f>AVERAGE(B6:C6)</f>
        <v>0.22310000000000002</v>
      </c>
      <c r="E6">
        <f>D6-L2</f>
        <v>0.17024444444444448</v>
      </c>
      <c r="F6">
        <f>E6*30/N3</f>
        <v>39.670320186415815</v>
      </c>
      <c r="H6">
        <f>F6*10*200*1000</f>
        <v>79340640.372831628</v>
      </c>
      <c r="I6" s="2">
        <f>H6/1000/107.87</f>
        <v>735.52090824911113</v>
      </c>
      <c r="K6">
        <f>0.05*0.05/50.05*0.05/10*0.1/1</f>
        <v>2.4975024975024984E-8</v>
      </c>
      <c r="L6" t="s">
        <v>9</v>
      </c>
      <c r="N6">
        <v>0.17024400000000001</v>
      </c>
      <c r="X6">
        <v>25.5</v>
      </c>
      <c r="Z6">
        <v>4.2</v>
      </c>
    </row>
    <row r="7" spans="1:26" ht="15" x14ac:dyDescent="0.25">
      <c r="B7" t="s">
        <v>3</v>
      </c>
      <c r="C7" t="s">
        <v>4</v>
      </c>
      <c r="D7" t="s">
        <v>25</v>
      </c>
      <c r="E7" t="s">
        <v>26</v>
      </c>
      <c r="F7" t="s">
        <v>27</v>
      </c>
      <c r="G7" t="s">
        <v>5</v>
      </c>
      <c r="H7" t="s">
        <v>8</v>
      </c>
      <c r="I7" s="2" t="s">
        <v>1</v>
      </c>
      <c r="K7">
        <f>0.1*0.05/50.05*0.01/10*0.1/1</f>
        <v>9.9900099900099945E-9</v>
      </c>
      <c r="N7">
        <v>8.5900000000000004E-2</v>
      </c>
      <c r="X7">
        <v>20.399999999999999</v>
      </c>
      <c r="Z7">
        <v>6.3</v>
      </c>
    </row>
    <row r="8" spans="1:26" ht="15" x14ac:dyDescent="0.25">
      <c r="A8">
        <v>0.1</v>
      </c>
      <c r="B8">
        <v>0.10440000000000001</v>
      </c>
      <c r="C8">
        <v>0.1244</v>
      </c>
      <c r="D8">
        <v>0.15720000000000001</v>
      </c>
      <c r="E8">
        <v>0.16900000000000001</v>
      </c>
      <c r="G8">
        <f>AVERAGE(B8:E8)</f>
        <v>0.13875000000000001</v>
      </c>
      <c r="H8">
        <f>G8-L2</f>
        <v>8.5894444444444454E-2</v>
      </c>
      <c r="I8" s="2">
        <f>H8*30/N3</f>
        <v>20.015103132821267</v>
      </c>
      <c r="X8">
        <v>25.6</v>
      </c>
      <c r="Z8">
        <v>3.5</v>
      </c>
    </row>
    <row r="9" spans="1:26" ht="15" x14ac:dyDescent="0.25">
      <c r="X9">
        <v>23.4</v>
      </c>
      <c r="Z9">
        <v>3.5</v>
      </c>
    </row>
    <row r="10" spans="1:26" ht="15" x14ac:dyDescent="0.25">
      <c r="X10">
        <v>21.3</v>
      </c>
      <c r="Z10">
        <v>3.3</v>
      </c>
    </row>
    <row r="11" spans="1:26" ht="15" x14ac:dyDescent="0.25">
      <c r="A11" t="s">
        <v>10</v>
      </c>
      <c r="V11" t="s">
        <v>5</v>
      </c>
      <c r="X11" s="1">
        <f>AVERAGE(X2:X10)</f>
        <v>24.822222222222223</v>
      </c>
      <c r="Z11" s="1">
        <f>AVERAGE(Z2:Z10)</f>
        <v>4.6999999999999993</v>
      </c>
    </row>
    <row r="12" spans="1:26" ht="15" x14ac:dyDescent="0.25">
      <c r="A12" t="s">
        <v>11</v>
      </c>
      <c r="E12" t="s">
        <v>12</v>
      </c>
      <c r="G12" t="s">
        <v>29</v>
      </c>
      <c r="I12" t="s">
        <v>13</v>
      </c>
      <c r="J12" t="s">
        <v>13</v>
      </c>
      <c r="K12" t="s">
        <v>14</v>
      </c>
      <c r="M12" t="s">
        <v>18</v>
      </c>
      <c r="O12" t="s">
        <v>15</v>
      </c>
      <c r="R12" t="s">
        <v>19</v>
      </c>
      <c r="T12" t="s">
        <v>20</v>
      </c>
    </row>
    <row r="13" spans="1:26" ht="15" x14ac:dyDescent="0.25">
      <c r="A13">
        <v>2</v>
      </c>
      <c r="B13">
        <v>0.21820000000000001</v>
      </c>
      <c r="C13">
        <v>0.21079999999999999</v>
      </c>
      <c r="D13">
        <f>AVERAGE(B13:C13)</f>
        <v>0.2145</v>
      </c>
      <c r="E13">
        <f>D13-L2</f>
        <v>0.16164444444444442</v>
      </c>
      <c r="G13">
        <f>E13*30/N3</f>
        <v>37.666350220074222</v>
      </c>
      <c r="I13">
        <f>G13*1/1000</f>
        <v>3.7666350220074224E-2</v>
      </c>
      <c r="J13">
        <f>10*I13/0.02</f>
        <v>18.833175110037111</v>
      </c>
      <c r="K13">
        <f>J13*4.9/0.05</f>
        <v>1845.6511607836369</v>
      </c>
      <c r="M13">
        <v>1.8460000000000001</v>
      </c>
      <c r="O13">
        <f>1.846/107.87</f>
        <v>1.7113191804950405E-2</v>
      </c>
      <c r="R13">
        <f>M13/X11</f>
        <v>7.436884512085945E-2</v>
      </c>
      <c r="T13">
        <f>M13/Z11</f>
        <v>0.39276595744680859</v>
      </c>
    </row>
    <row r="14" spans="1:26" ht="15" x14ac:dyDescent="0.25">
      <c r="A14">
        <v>4</v>
      </c>
      <c r="B14">
        <v>0.1595</v>
      </c>
      <c r="C14">
        <v>0.16289999999999999</v>
      </c>
      <c r="D14">
        <f t="shared" ref="D14:D15" si="0">AVERAGE(B14:C14)</f>
        <v>0.16120000000000001</v>
      </c>
      <c r="E14">
        <f>D14-L2</f>
        <v>0.10834444444444445</v>
      </c>
      <c r="G14">
        <f>E14*30/N3</f>
        <v>25.246396824026931</v>
      </c>
      <c r="I14">
        <f>G14*1/1000</f>
        <v>2.5246396824026931E-2</v>
      </c>
      <c r="J14">
        <f>I14*10/0.02</f>
        <v>12.623198412013464</v>
      </c>
      <c r="K14">
        <f>J14*5/0.05</f>
        <v>1262.3198412013464</v>
      </c>
      <c r="M14">
        <v>1.262</v>
      </c>
      <c r="R14">
        <f>M14/X11</f>
        <v>5.0841539838854075E-2</v>
      </c>
      <c r="T14">
        <f>M14/Z11</f>
        <v>0.26851063829787236</v>
      </c>
    </row>
    <row r="15" spans="1:26" ht="15" x14ac:dyDescent="0.25">
      <c r="A15">
        <v>6</v>
      </c>
      <c r="B15">
        <v>0.1517</v>
      </c>
      <c r="C15">
        <v>0.159</v>
      </c>
      <c r="D15">
        <f t="shared" si="0"/>
        <v>0.15534999999999999</v>
      </c>
      <c r="E15">
        <f>D15-L2</f>
        <v>0.10249444444444443</v>
      </c>
      <c r="G15">
        <f>E15*30/N3</f>
        <v>23.883231207387588</v>
      </c>
      <c r="I15">
        <f>G15*1/1000</f>
        <v>2.3883231207387588E-2</v>
      </c>
      <c r="J15">
        <f>I15*10/0.02</f>
        <v>11.941615603693792</v>
      </c>
      <c r="K15">
        <f>J15*4/0.05</f>
        <v>955.32924829550336</v>
      </c>
      <c r="M15">
        <v>0.95499999999999996</v>
      </c>
      <c r="R15">
        <f>M15/X11</f>
        <v>3.847358997314234E-2</v>
      </c>
      <c r="T15">
        <f>M15/Z11</f>
        <v>0.20319148936170214</v>
      </c>
    </row>
    <row r="18" spans="1:21" x14ac:dyDescent="0.3">
      <c r="A18" t="s">
        <v>21</v>
      </c>
      <c r="F18" t="s">
        <v>22</v>
      </c>
      <c r="H18" t="s">
        <v>23</v>
      </c>
      <c r="N18" t="s">
        <v>24</v>
      </c>
      <c r="R18" t="s">
        <v>19</v>
      </c>
      <c r="T18" t="s">
        <v>20</v>
      </c>
    </row>
    <row r="19" spans="1:21" ht="15" x14ac:dyDescent="0.25">
      <c r="A19">
        <v>2</v>
      </c>
      <c r="B19">
        <v>0.26119999999999999</v>
      </c>
      <c r="C19">
        <v>0.2505</v>
      </c>
      <c r="E19">
        <f>AVERAGE(B19:C19)</f>
        <v>0.25585000000000002</v>
      </c>
      <c r="F19">
        <f>E19-L2</f>
        <v>0.20299444444444448</v>
      </c>
      <c r="H19">
        <f>F19*30/N3</f>
        <v>47.301717441960832</v>
      </c>
      <c r="J19">
        <f>H19*1/1000</f>
        <v>4.7301717441960829E-2</v>
      </c>
      <c r="K19">
        <f>J19*1000/100</f>
        <v>0.47301717441960833</v>
      </c>
      <c r="L19">
        <f>K19*10/0.02</f>
        <v>236.50858720980415</v>
      </c>
      <c r="M19">
        <f>L19*4.8/0.05</f>
        <v>22704.824372141196</v>
      </c>
      <c r="N19">
        <f>M19/1000</f>
        <v>22.704824372141196</v>
      </c>
      <c r="R19">
        <f>N19/X11</f>
        <v>0.91469749037274295</v>
      </c>
      <c r="T19">
        <f>N19/4.7</f>
        <v>4.8308136962002548</v>
      </c>
    </row>
    <row r="20" spans="1:21" ht="15" x14ac:dyDescent="0.25">
      <c r="A20">
        <v>4</v>
      </c>
      <c r="B20">
        <v>0.1706</v>
      </c>
      <c r="C20">
        <v>0.17130000000000001</v>
      </c>
      <c r="E20">
        <f>AVERAGE(B20:C20)</f>
        <v>0.17094999999999999</v>
      </c>
      <c r="F20">
        <f>E20-L2</f>
        <v>0.11809444444444443</v>
      </c>
      <c r="H20">
        <f>F20*30/N3</f>
        <v>27.518339518425819</v>
      </c>
      <c r="J20">
        <f>H20*1/1000</f>
        <v>2.7518339518425819E-2</v>
      </c>
      <c r="K20">
        <f>J20*1000/100</f>
        <v>0.27518339518425816</v>
      </c>
      <c r="L20">
        <f>K20*10/0.02</f>
        <v>137.59169759212907</v>
      </c>
      <c r="M20">
        <f>L20*4.9/0.05</f>
        <v>13483.986364028648</v>
      </c>
    </row>
    <row r="21" spans="1:21" ht="15" x14ac:dyDescent="0.25">
      <c r="A21">
        <v>6</v>
      </c>
      <c r="B21">
        <v>0.12909999999999999</v>
      </c>
      <c r="C21">
        <v>0.1225</v>
      </c>
      <c r="D21">
        <v>0.12620000000000001</v>
      </c>
      <c r="E21">
        <f>AVERAGE(B21:D21)</f>
        <v>0.12593333333333334</v>
      </c>
      <c r="F21">
        <f>E21-L2</f>
        <v>7.3077777777777783E-2</v>
      </c>
      <c r="H21">
        <f>F21*30/N3</f>
        <v>17.028566496936222</v>
      </c>
    </row>
    <row r="24" spans="1:21" x14ac:dyDescent="0.3">
      <c r="A24" t="s">
        <v>11</v>
      </c>
      <c r="B24" t="s">
        <v>12</v>
      </c>
      <c r="D24" t="s">
        <v>31</v>
      </c>
      <c r="F24" t="s">
        <v>34</v>
      </c>
      <c r="G24" t="s">
        <v>30</v>
      </c>
      <c r="H24" t="s">
        <v>35</v>
      </c>
      <c r="J24" t="s">
        <v>32</v>
      </c>
      <c r="K24" t="s">
        <v>33</v>
      </c>
      <c r="M24" t="s">
        <v>38</v>
      </c>
      <c r="O24" t="s">
        <v>39</v>
      </c>
      <c r="Q24" t="s">
        <v>37</v>
      </c>
      <c r="R24" t="s">
        <v>33</v>
      </c>
      <c r="T24" t="s">
        <v>41</v>
      </c>
      <c r="U24" t="s">
        <v>42</v>
      </c>
    </row>
    <row r="25" spans="1:21" ht="15" x14ac:dyDescent="0.25">
      <c r="A25">
        <v>2</v>
      </c>
      <c r="B25">
        <v>0.16164444444444442</v>
      </c>
      <c r="D25">
        <f>B25*K6/N6</f>
        <v>2.3713458548166384E-8</v>
      </c>
      <c r="F25" s="3">
        <f>D25*1/1000*10/0.02*4.8/0.05/0.0048</f>
        <v>2.3713458548166381E-4</v>
      </c>
      <c r="G25">
        <f>B25*K7/N7</f>
        <v>1.8798947786142205E-8</v>
      </c>
      <c r="H25" s="3">
        <f>G25*1/1000*10/0.02*5/0.05/0.0049</f>
        <v>1.9182599781777764E-4</v>
      </c>
      <c r="J25">
        <f>AVERAGE(F25,H25)</f>
        <v>2.1448029164972072E-4</v>
      </c>
      <c r="K25">
        <f>STDEV(F25,H25)</f>
        <v>3.2038009583119069E-5</v>
      </c>
      <c r="M25">
        <f>F25*107.87</f>
        <v>2.5579707735907075E-2</v>
      </c>
      <c r="N25">
        <f>M25*1000</f>
        <v>25.579707735907075</v>
      </c>
      <c r="O25">
        <f>H25*107.87</f>
        <v>2.0692270384603674E-2</v>
      </c>
      <c r="P25">
        <f>O25*1000</f>
        <v>20.692270384603674</v>
      </c>
      <c r="Q25">
        <f>AVERAGE(M25,O25)</f>
        <v>2.3135989060255373E-2</v>
      </c>
      <c r="R25">
        <f>STDEV(M25,O25)</f>
        <v>3.4559400937310531E-3</v>
      </c>
      <c r="S25">
        <f>Q25*1000</f>
        <v>23.135989060255373</v>
      </c>
      <c r="T25">
        <f>Q25*0.005</f>
        <v>1.1567994530127686E-4</v>
      </c>
      <c r="U25">
        <f>T25/X11*1000</f>
        <v>4.660337993337026E-3</v>
      </c>
    </row>
    <row r="26" spans="1:21" ht="15" x14ac:dyDescent="0.25">
      <c r="A26">
        <v>4</v>
      </c>
      <c r="B26">
        <v>0.10834444444444445</v>
      </c>
      <c r="D26">
        <f>B26*K6/N6</f>
        <v>1.5894276484958101E-8</v>
      </c>
      <c r="F26" s="4">
        <f>D26*1/1000*10/0.02*5/0.05/0.005</f>
        <v>1.5894276484958102E-4</v>
      </c>
      <c r="G26">
        <f>B26*K7/N7</f>
        <v>1.2600257070571395E-8</v>
      </c>
      <c r="H26" s="4">
        <f>G26*1/1000*10/0.02*5/0.05/0.005</f>
        <v>1.2600257070571392E-4</v>
      </c>
      <c r="J26">
        <f t="shared" ref="J26:J27" si="1">AVERAGE(F26,H26)</f>
        <v>1.4247266777764746E-4</v>
      </c>
      <c r="K26">
        <f t="shared" ref="K26:K27" si="2">STDEV(F26,H26)</f>
        <v>2.329223465272983E-5</v>
      </c>
      <c r="M26">
        <f>F26*107.87</f>
        <v>1.7145156044324306E-2</v>
      </c>
      <c r="N26">
        <f t="shared" ref="N26:N27" si="3">M26*1000</f>
        <v>17.145156044324306</v>
      </c>
      <c r="O26">
        <f t="shared" ref="O26:O27" si="4">H26*107.87</f>
        <v>1.3591897302025362E-2</v>
      </c>
      <c r="P26">
        <f t="shared" ref="P26:P27" si="5">O26*1000</f>
        <v>13.591897302025362</v>
      </c>
      <c r="Q26">
        <f t="shared" ref="Q26:Q27" si="6">AVERAGE(M26,O26)</f>
        <v>1.5368526673174834E-2</v>
      </c>
      <c r="R26">
        <f t="shared" ref="R26:R27" si="7">STDEV(M26,O26)</f>
        <v>2.5125333519899666E-3</v>
      </c>
      <c r="S26">
        <f t="shared" ref="S26:S27" si="8">Q26*1000</f>
        <v>15.368526673174834</v>
      </c>
      <c r="T26">
        <f>Q26*0.005</f>
        <v>7.6842633365874173E-5</v>
      </c>
      <c r="U26">
        <f>T26/X11*100</f>
        <v>3.0957193388221464E-4</v>
      </c>
    </row>
    <row r="27" spans="1:21" ht="15" x14ac:dyDescent="0.25">
      <c r="A27">
        <v>6</v>
      </c>
      <c r="B27">
        <v>0.10249444444444443</v>
      </c>
      <c r="D27">
        <f>B27*K6/N6</f>
        <v>1.5036073575581579E-8</v>
      </c>
      <c r="F27" s="5">
        <f>D27*1/1000*10/0.02*4/0.05/0.004</f>
        <v>1.5036073575581577E-4</v>
      </c>
      <c r="G27">
        <f>B27*K7/N7</f>
        <v>1.1919912967642889E-8</v>
      </c>
      <c r="H27" s="5">
        <f>G27*1/1000*10/0.02*4/0.05/0.004</f>
        <v>1.1919912967642886E-4</v>
      </c>
      <c r="J27">
        <f t="shared" si="1"/>
        <v>1.3477993271612232E-4</v>
      </c>
      <c r="K27">
        <f t="shared" si="2"/>
        <v>2.2034582971398429E-5</v>
      </c>
      <c r="M27">
        <f>F27*107.87</f>
        <v>1.6219412565979849E-2</v>
      </c>
      <c r="N27">
        <f t="shared" si="3"/>
        <v>16.219412565979848</v>
      </c>
      <c r="O27">
        <f t="shared" si="4"/>
        <v>1.2858010118196383E-2</v>
      </c>
      <c r="P27">
        <f t="shared" si="5"/>
        <v>12.858010118196383</v>
      </c>
      <c r="Q27">
        <f t="shared" si="6"/>
        <v>1.4538711342088116E-2</v>
      </c>
      <c r="R27">
        <f t="shared" si="7"/>
        <v>2.3768704651247487E-3</v>
      </c>
      <c r="S27">
        <f t="shared" si="8"/>
        <v>14.538711342088115</v>
      </c>
    </row>
    <row r="28" spans="1:21" ht="15" x14ac:dyDescent="0.25">
      <c r="M28" t="s">
        <v>36</v>
      </c>
    </row>
    <row r="29" spans="1:21" x14ac:dyDescent="0.3">
      <c r="A29" t="s">
        <v>21</v>
      </c>
      <c r="B29" t="s">
        <v>22</v>
      </c>
      <c r="D29" t="s">
        <v>31</v>
      </c>
      <c r="F29" t="s">
        <v>34</v>
      </c>
      <c r="G29" t="s">
        <v>30</v>
      </c>
      <c r="H29" t="s">
        <v>35</v>
      </c>
      <c r="J29" t="s">
        <v>32</v>
      </c>
      <c r="K29" t="s">
        <v>33</v>
      </c>
      <c r="M29" t="s">
        <v>38</v>
      </c>
      <c r="O29" t="s">
        <v>40</v>
      </c>
      <c r="Q29" t="s">
        <v>37</v>
      </c>
      <c r="R29" t="s">
        <v>33</v>
      </c>
    </row>
    <row r="30" spans="1:21" ht="15" x14ac:dyDescent="0.25">
      <c r="A30">
        <v>2</v>
      </c>
      <c r="B30">
        <v>0.20299444444444448</v>
      </c>
      <c r="D30">
        <f>B30*K6/N6</f>
        <v>2.9779559454614095E-8</v>
      </c>
      <c r="F30" s="3">
        <f>D30*1/1000*1/0.1*10/0.02*4.8/0.05/0.0048</f>
        <v>2.9779559454614088E-3</v>
      </c>
      <c r="G30">
        <f>B30*K7/N7</f>
        <v>2.360787576154283E-8</v>
      </c>
      <c r="H30" s="3">
        <f>G30*1/1000*1/0.1*10/0.02*4.8/0.05/0.0048</f>
        <v>2.3607875761542827E-3</v>
      </c>
      <c r="J30">
        <f>AVERAGE(F30,H30)</f>
        <v>2.6693717608078458E-3</v>
      </c>
      <c r="K30">
        <f>STDEV(F30,H30)</f>
        <v>4.3640393907091237E-4</v>
      </c>
      <c r="M30">
        <f>F30*107.87</f>
        <v>0.32123210783692219</v>
      </c>
      <c r="N30">
        <f>M30*1000</f>
        <v>321.23210783692218</v>
      </c>
      <c r="O30">
        <f>H30*107.87</f>
        <v>0.25465815583976248</v>
      </c>
      <c r="P30">
        <f>O30*1000</f>
        <v>254.65815583976249</v>
      </c>
      <c r="Q30">
        <f>AVERAGE(M30,O30)</f>
        <v>0.28794513183834236</v>
      </c>
      <c r="R30">
        <f>STDEV(M30,O30)</f>
        <v>4.7074892907578818E-2</v>
      </c>
      <c r="S30">
        <f>Q30*1000</f>
        <v>287.94513183834238</v>
      </c>
    </row>
    <row r="31" spans="1:21" ht="15" x14ac:dyDescent="0.25">
      <c r="A31">
        <v>4</v>
      </c>
      <c r="B31">
        <v>0.11809444444444443</v>
      </c>
      <c r="D31">
        <f>B31*K6/N6</f>
        <v>1.7324614667252296E-8</v>
      </c>
      <c r="F31" s="4">
        <f>D31*1/1000*1/0.1*10/0.02*4.9/0.05/0.0049</f>
        <v>1.7324614667252297E-3</v>
      </c>
      <c r="G31">
        <f>B31*K7/N7</f>
        <v>1.3734163908785566E-8</v>
      </c>
      <c r="H31" s="4">
        <f>G31*1/1000*1/0.1*10/0.02*4.9/0.05/0.0049</f>
        <v>1.3734163908785567E-3</v>
      </c>
      <c r="J31">
        <f>AVERAGE(F31,H31)</f>
        <v>1.5529389288018933E-3</v>
      </c>
      <c r="K31">
        <f>STDEV(F31,H31)</f>
        <v>2.5388320788282076E-4</v>
      </c>
      <c r="M31">
        <f>F31*107.87</f>
        <v>0.18688061841565054</v>
      </c>
      <c r="N31">
        <f t="shared" ref="N31:N32" si="9">M31*1000</f>
        <v>186.88061841565053</v>
      </c>
      <c r="O31">
        <f>H31*107.87</f>
        <v>0.14815042608406992</v>
      </c>
      <c r="P31">
        <f t="shared" ref="P31:P32" si="10">O31*1000</f>
        <v>148.15042608406992</v>
      </c>
      <c r="Q31">
        <f>AVERAGE(M31,O31)</f>
        <v>0.16751552224986022</v>
      </c>
      <c r="R31">
        <f>STDEV(M31,O31)</f>
        <v>2.7386381634319924E-2</v>
      </c>
      <c r="S31">
        <f t="shared" ref="S31:S32" si="11">Q31*1000</f>
        <v>167.51552224986023</v>
      </c>
    </row>
    <row r="32" spans="1:21" ht="15" x14ac:dyDescent="0.25">
      <c r="A32">
        <v>6</v>
      </c>
      <c r="B32">
        <v>7.3077777777777783E-2</v>
      </c>
      <c r="D32">
        <f>B32*K6/N6</f>
        <v>1.0720608803360623E-8</v>
      </c>
      <c r="F32" s="5">
        <f>D32*1/1000*1/0.1*10/0.02*5/0.05/0.005</f>
        <v>1.0720608803360622E-3</v>
      </c>
      <c r="G32">
        <f>B32*K7/N7</f>
        <v>8.4988094301249164E-9</v>
      </c>
      <c r="H32" s="5">
        <f>G32*1/1000*1/0.1*10/0.02*5/0.05/0.005</f>
        <v>8.4988094301249168E-4</v>
      </c>
      <c r="J32">
        <f>AVERAGE(F32,H32)</f>
        <v>9.6097091167427688E-4</v>
      </c>
      <c r="K32">
        <f>STDEV(F32,H32)</f>
        <v>1.5710494032509882E-4</v>
      </c>
      <c r="M32">
        <f>F32*107.87</f>
        <v>0.11564320716185103</v>
      </c>
      <c r="N32">
        <f t="shared" si="9"/>
        <v>115.64320716185102</v>
      </c>
      <c r="O32">
        <f>H32*107.87</f>
        <v>9.1676657322757482E-2</v>
      </c>
      <c r="P32">
        <f t="shared" si="10"/>
        <v>91.676657322757478</v>
      </c>
      <c r="Q32">
        <f>AVERAGE(M32,O32)</f>
        <v>0.10365993224230426</v>
      </c>
      <c r="R32">
        <f>STDEV(M32,O32)</f>
        <v>1.6946909912868416E-2</v>
      </c>
      <c r="S32">
        <f t="shared" si="11"/>
        <v>103.65993224230425</v>
      </c>
    </row>
    <row r="36" spans="1:26" ht="15" x14ac:dyDescent="0.25">
      <c r="A36" t="s">
        <v>43</v>
      </c>
    </row>
    <row r="37" spans="1:26" x14ac:dyDescent="0.3">
      <c r="A37" t="s">
        <v>11</v>
      </c>
      <c r="E37" t="s">
        <v>5</v>
      </c>
      <c r="F37" t="s">
        <v>12</v>
      </c>
      <c r="H37" t="s">
        <v>34</v>
      </c>
      <c r="J37" t="s">
        <v>44</v>
      </c>
      <c r="N37" t="s">
        <v>45</v>
      </c>
      <c r="Q37" t="s">
        <v>30</v>
      </c>
      <c r="R37" t="s">
        <v>44</v>
      </c>
      <c r="W37" t="s">
        <v>45</v>
      </c>
      <c r="X37" t="s">
        <v>46</v>
      </c>
      <c r="Z37" t="s">
        <v>33</v>
      </c>
    </row>
    <row r="38" spans="1:26" ht="15" x14ac:dyDescent="0.25">
      <c r="A38">
        <v>2</v>
      </c>
      <c r="B38">
        <v>0.13900000000000001</v>
      </c>
      <c r="C38">
        <v>0.20749999999999999</v>
      </c>
      <c r="D38">
        <v>0.16320000000000001</v>
      </c>
      <c r="E38">
        <f>AVERAGE(B38:D38)</f>
        <v>0.16990000000000002</v>
      </c>
      <c r="F38">
        <f>E38-L2</f>
        <v>0.11704444444444446</v>
      </c>
      <c r="H38">
        <f>F38*K6/N6</f>
        <v>1.7170578247620619E-8</v>
      </c>
      <c r="J38">
        <f>H38*10</f>
        <v>1.717057824762062E-7</v>
      </c>
      <c r="N38">
        <f>J38/J25*100</f>
        <v>8.0056671480393235E-2</v>
      </c>
      <c r="Q38">
        <f>F38*K7/N7</f>
        <v>1.3612050864670199E-8</v>
      </c>
      <c r="R38">
        <f>Q38*10</f>
        <v>1.36120508646702E-7</v>
      </c>
      <c r="W38">
        <f>R38/H25*100</f>
        <v>7.0960406928787481E-2</v>
      </c>
      <c r="X38">
        <f>AVERAGE(J38,R38)</f>
        <v>1.539131455614541E-7</v>
      </c>
      <c r="Z38">
        <f>STDEV(J38,R38)</f>
        <v>2.5162588435222604E-8</v>
      </c>
    </row>
    <row r="39" spans="1:26" ht="15" x14ac:dyDescent="0.25">
      <c r="A39">
        <v>4</v>
      </c>
      <c r="B39">
        <v>0.20300000000000001</v>
      </c>
      <c r="C39">
        <v>0.31850000000000001</v>
      </c>
      <c r="D39">
        <v>0.40820000000000001</v>
      </c>
      <c r="E39">
        <f>AVERAGE(B39:D39)</f>
        <v>0.30990000000000001</v>
      </c>
      <c r="F39">
        <f>E39-L2</f>
        <v>0.25704444444444446</v>
      </c>
      <c r="H39">
        <f>F39*K6/N6</f>
        <v>3.7708767531845012E-8</v>
      </c>
      <c r="J39">
        <f>H39*10</f>
        <v>3.7708767531845012E-7</v>
      </c>
      <c r="N39">
        <f>J39/J26*100</f>
        <v>0.26467369580455868</v>
      </c>
      <c r="Q39">
        <f>F39*K7/N7</f>
        <v>2.9893790080053192E-8</v>
      </c>
      <c r="R39">
        <f t="shared" ref="R39:R40" si="12">Q39*10</f>
        <v>2.989379008005319E-7</v>
      </c>
      <c r="W39">
        <f>R39/H26*100</f>
        <v>0.23724746179878994</v>
      </c>
      <c r="X39">
        <f>AVERAGE(J39,R39)</f>
        <v>3.3801278805949104E-7</v>
      </c>
      <c r="Z39">
        <f t="shared" ref="Z39:Z40" si="13">STDEV(J39,R39)</f>
        <v>5.526023550981962E-8</v>
      </c>
    </row>
    <row r="40" spans="1:26" ht="15" x14ac:dyDescent="0.25">
      <c r="A40">
        <v>6</v>
      </c>
      <c r="B40">
        <v>0.28639999999999999</v>
      </c>
      <c r="C40">
        <v>0.28860000000000002</v>
      </c>
      <c r="E40">
        <f>AVERAGE(B40:C40)</f>
        <v>0.28749999999999998</v>
      </c>
      <c r="F40">
        <f>E40-L2</f>
        <v>0.23464444444444443</v>
      </c>
      <c r="H40">
        <f>F40*K6/N6</f>
        <v>3.4422657246369105E-8</v>
      </c>
      <c r="J40">
        <f>H40*10</f>
        <v>3.4422657246369105E-7</v>
      </c>
      <c r="N40">
        <f>J40/J27*100</f>
        <v>0.25539897930407174</v>
      </c>
      <c r="Q40">
        <f>F40*K7/N7</f>
        <v>2.7288711805591911E-8</v>
      </c>
      <c r="R40">
        <f t="shared" si="12"/>
        <v>2.7288711805591913E-7</v>
      </c>
      <c r="W40">
        <f>R40/H27*100</f>
        <v>0.22893381755108691</v>
      </c>
      <c r="X40">
        <f>AVERAGE(J40,R40)</f>
        <v>3.0855684525980506E-7</v>
      </c>
      <c r="Z40">
        <f t="shared" si="13"/>
        <v>5.0444611977884051E-8</v>
      </c>
    </row>
    <row r="42" spans="1:26" x14ac:dyDescent="0.3">
      <c r="A42" t="s">
        <v>21</v>
      </c>
      <c r="E42" t="s">
        <v>5</v>
      </c>
      <c r="F42" t="s">
        <v>12</v>
      </c>
      <c r="H42" t="s">
        <v>34</v>
      </c>
      <c r="J42" t="s">
        <v>44</v>
      </c>
      <c r="N42" t="s">
        <v>45</v>
      </c>
      <c r="Q42" t="s">
        <v>47</v>
      </c>
      <c r="R42" t="s">
        <v>48</v>
      </c>
      <c r="T42" t="s">
        <v>45</v>
      </c>
    </row>
    <row r="43" spans="1:26" x14ac:dyDescent="0.3">
      <c r="A43">
        <v>2</v>
      </c>
      <c r="B43">
        <v>0.19409999999999999</v>
      </c>
      <c r="C43">
        <v>0.19220000000000001</v>
      </c>
      <c r="E43">
        <f>AVERAGE(B43:C43)</f>
        <v>0.19314999999999999</v>
      </c>
      <c r="F43">
        <f>E43-L2</f>
        <v>0.14029444444444444</v>
      </c>
      <c r="H43">
        <f>F43*K6/N6</f>
        <v>2.0581384682322167E-8</v>
      </c>
      <c r="J43">
        <f>H43*400*10</f>
        <v>8.2325538729288673E-5</v>
      </c>
      <c r="N43">
        <f>J43/F30*100</f>
        <v>2.7644982073948388</v>
      </c>
      <c r="Q43">
        <f>F43*K7/N7</f>
        <v>1.6315982555796298E-8</v>
      </c>
      <c r="R43">
        <f>Q43*400*10</f>
        <v>6.5263930223185198E-5</v>
      </c>
      <c r="T43">
        <f>R43/H30*100</f>
        <v>2.7644982073948383</v>
      </c>
    </row>
    <row r="44" spans="1:26" x14ac:dyDescent="0.3">
      <c r="A44">
        <v>4</v>
      </c>
      <c r="B44">
        <v>0.1076</v>
      </c>
      <c r="C44">
        <v>0.10829999999999999</v>
      </c>
      <c r="E44">
        <f>AVERAGE(B44:C44)</f>
        <v>0.10794999999999999</v>
      </c>
      <c r="F44">
        <f>E44-L2</f>
        <v>5.5094444444444432E-2</v>
      </c>
      <c r="H44">
        <f>F44*K6/N6</f>
        <v>8.0824294893513206E-9</v>
      </c>
      <c r="J44">
        <f>H44*400*10</f>
        <v>3.2329717957405287E-5</v>
      </c>
      <c r="N44">
        <f>J44/F31*100</f>
        <v>1.8661146916309923</v>
      </c>
      <c r="Q44">
        <f>F44*K7/N7</f>
        <v>6.4073812618632182E-9</v>
      </c>
      <c r="R44">
        <f>Q44*400*10</f>
        <v>2.5629525047452874E-5</v>
      </c>
      <c r="T44">
        <f>R44/H31*100</f>
        <v>1.8661146916309916</v>
      </c>
    </row>
    <row r="45" spans="1:26" x14ac:dyDescent="0.3">
      <c r="A45">
        <v>6</v>
      </c>
      <c r="B45">
        <v>0.5</v>
      </c>
      <c r="C45">
        <v>0.36559999999999998</v>
      </c>
      <c r="D45">
        <v>0.4834</v>
      </c>
      <c r="E45">
        <f>AVERAGE(B45:D45)</f>
        <v>0.44966666666666666</v>
      </c>
      <c r="F45">
        <f>E45-L2</f>
        <v>0.39681111111111111</v>
      </c>
      <c r="H45">
        <f>F45*K6/N6</f>
        <v>5.8212726500595696E-8</v>
      </c>
      <c r="J45">
        <f>H45*10*200*10</f>
        <v>1.1642545300119139E-3</v>
      </c>
      <c r="N45">
        <f>J45/F32*100</f>
        <v>108.59966550098829</v>
      </c>
      <c r="Q45">
        <f>F45*K7/N7</f>
        <v>4.6148393063410548E-8</v>
      </c>
      <c r="R45">
        <f>Q45*10*200*10</f>
        <v>9.2296786126821095E-4</v>
      </c>
      <c r="T45">
        <f>R45/F32*100</f>
        <v>86.092858922236331</v>
      </c>
    </row>
    <row r="49" spans="1:10" x14ac:dyDescent="0.3">
      <c r="A49" t="s">
        <v>49</v>
      </c>
      <c r="D49" t="s">
        <v>5</v>
      </c>
      <c r="E49" t="s">
        <v>51</v>
      </c>
      <c r="F49" t="s">
        <v>50</v>
      </c>
      <c r="H49" t="s">
        <v>52</v>
      </c>
      <c r="J49" t="s">
        <v>53</v>
      </c>
    </row>
    <row r="50" spans="1:10" x14ac:dyDescent="0.3">
      <c r="A50">
        <v>0.50529999999999997</v>
      </c>
      <c r="B50">
        <v>0.64580000000000004</v>
      </c>
      <c r="C50">
        <v>0.63339999999999996</v>
      </c>
      <c r="D50">
        <f>AVERAGE(A50:C50)</f>
        <v>0.59483333333333333</v>
      </c>
      <c r="E50">
        <f>D50-L2</f>
        <v>0.54197777777777778</v>
      </c>
      <c r="F50">
        <f>E50*K6/N6</f>
        <v>7.9508872770309325E-8</v>
      </c>
      <c r="H50">
        <f>F50*1/1000*10/0.01/0.01</f>
        <v>7.9508872770309327E-6</v>
      </c>
      <c r="J50">
        <f>H50*107.87*1000*1000</f>
        <v>857.66221057332666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093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09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Municoy</dc:creator>
  <cp:lastModifiedBy>Sofia Municoy</cp:lastModifiedBy>
  <dcterms:created xsi:type="dcterms:W3CDTF">2022-11-16T17:10:54Z</dcterms:created>
  <dcterms:modified xsi:type="dcterms:W3CDTF">2022-11-26T09:01:47Z</dcterms:modified>
</cp:coreProperties>
</file>